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3.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drawings/drawing4.xml" ContentType="application/vnd.openxmlformats-officedocument.drawing+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drawings/drawing5.xml" ContentType="application/vnd.openxmlformats-officedocument.drawing+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drawings/drawing6.xml" ContentType="application/vnd.openxmlformats-officedocument.drawing+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drawings/drawing7.xml" ContentType="application/vnd.openxmlformats-officedocument.drawing+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drawings/drawing8.xml" ContentType="application/vnd.openxmlformats-officedocument.drawing+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drawings/drawing9.xml" ContentType="application/vnd.openxmlformats-officedocument.drawing+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drawings/drawing10.xml" ContentType="application/vnd.openxmlformats-officedocument.drawing+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3820"/>
  <mc:AlternateContent xmlns:mc="http://schemas.openxmlformats.org/markup-compatibility/2006">
    <mc:Choice Requires="x15">
      <x15ac:absPath xmlns:x15ac="http://schemas.microsoft.com/office/spreadsheetml/2010/11/ac" url="M:\Guidance\"/>
    </mc:Choice>
  </mc:AlternateContent>
  <bookViews>
    <workbookView xWindow="0" yWindow="0" windowWidth="14370" windowHeight="7515"/>
  </bookViews>
  <sheets>
    <sheet name="Starting Page" sheetId="34" r:id="rId1"/>
    <sheet name="School Year Summary" sheetId="33" r:id="rId2"/>
    <sheet name="Sep" sheetId="21" r:id="rId3"/>
    <sheet name="Oct" sheetId="25" r:id="rId4"/>
    <sheet name="Nov" sheetId="26" r:id="rId5"/>
    <sheet name="Dec" sheetId="27" r:id="rId6"/>
    <sheet name="Jan" sheetId="28" r:id="rId7"/>
    <sheet name="Feb" sheetId="29" r:id="rId8"/>
    <sheet name="Mar" sheetId="30" r:id="rId9"/>
    <sheet name="Apr" sheetId="32" r:id="rId10"/>
  </sheets>
  <calcPr calcId="152511"/>
  <webPublishing codePage="1252"/>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D16" i="32" l="1"/>
  <c r="E5" i="33" l="1"/>
  <c r="E4" i="32"/>
  <c r="E6" i="32" s="1"/>
  <c r="E4" i="30"/>
  <c r="E6" i="30" s="1"/>
  <c r="E4" i="29"/>
  <c r="E6" i="29" s="1"/>
  <c r="E4" i="28"/>
  <c r="E4" i="27"/>
  <c r="E6" i="27" s="1"/>
  <c r="E4" i="26"/>
  <c r="E6" i="26" s="1"/>
  <c r="E4" i="25"/>
  <c r="E6" i="25" s="1"/>
  <c r="E4" i="21"/>
  <c r="E8" i="33"/>
  <c r="E9" i="33"/>
  <c r="E7" i="33"/>
  <c r="C40" i="32"/>
  <c r="C43" i="32" s="1"/>
  <c r="C40" i="30"/>
  <c r="C43" i="30" s="1"/>
  <c r="C40" i="29"/>
  <c r="C43" i="29" s="1"/>
  <c r="C40" i="28"/>
  <c r="C43" i="28" s="1"/>
  <c r="C40" i="27"/>
  <c r="C43" i="27" s="1"/>
  <c r="C40" i="26"/>
  <c r="C40" i="25"/>
  <c r="C43" i="25" s="1"/>
  <c r="C40" i="21"/>
  <c r="C20" i="32"/>
  <c r="C25" i="32" s="1"/>
  <c r="C20" i="30"/>
  <c r="C25" i="30" s="1"/>
  <c r="C20" i="29"/>
  <c r="C25" i="29" s="1"/>
  <c r="C20" i="28"/>
  <c r="C25" i="28" s="1"/>
  <c r="C20" i="27"/>
  <c r="C25" i="27" s="1"/>
  <c r="C20" i="26"/>
  <c r="C25" i="26" s="1"/>
  <c r="C20" i="25"/>
  <c r="C25" i="25" s="1"/>
  <c r="C20" i="21"/>
  <c r="D23" i="33"/>
  <c r="C23" i="33"/>
  <c r="C22" i="33"/>
  <c r="C24" i="33"/>
  <c r="C21" i="33"/>
  <c r="C42" i="33"/>
  <c r="C41" i="33"/>
  <c r="C12" i="33"/>
  <c r="I18" i="34"/>
  <c r="M31" i="33" s="1"/>
  <c r="D55" i="33"/>
  <c r="D56" i="33"/>
  <c r="D57" i="33"/>
  <c r="D58" i="33"/>
  <c r="D54" i="33"/>
  <c r="C55" i="33"/>
  <c r="C56" i="33"/>
  <c r="E56" i="33" s="1"/>
  <c r="C57" i="33"/>
  <c r="C58" i="33"/>
  <c r="C54" i="33"/>
  <c r="D47" i="33"/>
  <c r="D48" i="33"/>
  <c r="D49" i="33"/>
  <c r="D50" i="33"/>
  <c r="D46" i="33"/>
  <c r="C47" i="33"/>
  <c r="C48" i="33"/>
  <c r="E48" i="33" s="1"/>
  <c r="C49" i="33"/>
  <c r="C50" i="33"/>
  <c r="C46" i="33"/>
  <c r="D41" i="33"/>
  <c r="D42" i="33"/>
  <c r="D36" i="33"/>
  <c r="D37" i="33" s="1"/>
  <c r="C36" i="33"/>
  <c r="C37" i="33" s="1"/>
  <c r="D29" i="33"/>
  <c r="D30" i="33"/>
  <c r="D31" i="33"/>
  <c r="D32" i="33"/>
  <c r="C29" i="33"/>
  <c r="E29" i="33" s="1"/>
  <c r="C30" i="33"/>
  <c r="C31" i="33"/>
  <c r="C32" i="33"/>
  <c r="C28" i="33"/>
  <c r="D21" i="33"/>
  <c r="D22" i="33"/>
  <c r="D24" i="33"/>
  <c r="D20" i="33"/>
  <c r="D13" i="33"/>
  <c r="D16" i="33"/>
  <c r="C16" i="33"/>
  <c r="C14" i="33"/>
  <c r="C13" i="33"/>
  <c r="E13" i="33" s="1"/>
  <c r="C2" i="33"/>
  <c r="C2" i="21"/>
  <c r="L16" i="21"/>
  <c r="O16" i="21"/>
  <c r="X18" i="21"/>
  <c r="R22" i="21"/>
  <c r="D14" i="21" s="1"/>
  <c r="U22" i="21"/>
  <c r="I23" i="21"/>
  <c r="L29" i="21"/>
  <c r="O29" i="21"/>
  <c r="R29" i="21"/>
  <c r="U29" i="21"/>
  <c r="X29" i="21"/>
  <c r="L36" i="21"/>
  <c r="O36" i="21"/>
  <c r="U38" i="21"/>
  <c r="R40" i="21"/>
  <c r="X40" i="21"/>
  <c r="L46" i="21"/>
  <c r="U49" i="21"/>
  <c r="O53" i="21"/>
  <c r="R53" i="21"/>
  <c r="O60" i="21"/>
  <c r="U60" i="21"/>
  <c r="L61" i="21"/>
  <c r="R64" i="21"/>
  <c r="X64" i="21"/>
  <c r="O71" i="21"/>
  <c r="R71" i="21"/>
  <c r="U71" i="21"/>
  <c r="L72" i="21"/>
  <c r="X75" i="21"/>
  <c r="E47" i="33"/>
  <c r="E30" i="33"/>
  <c r="C2" i="29"/>
  <c r="C2" i="30"/>
  <c r="C2" i="32"/>
  <c r="X75" i="32"/>
  <c r="L72" i="32"/>
  <c r="U71" i="32"/>
  <c r="R71" i="32"/>
  <c r="D56" i="32" s="1"/>
  <c r="E56" i="32" s="1"/>
  <c r="O71" i="32"/>
  <c r="X64" i="32"/>
  <c r="D50" i="32" s="1"/>
  <c r="E50" i="32" s="1"/>
  <c r="R64" i="32"/>
  <c r="D48" i="32" s="1"/>
  <c r="E48" i="32" s="1"/>
  <c r="L61" i="32"/>
  <c r="U60" i="32"/>
  <c r="O60" i="32"/>
  <c r="C59" i="32"/>
  <c r="D58" i="32"/>
  <c r="E58" i="32" s="1"/>
  <c r="D57" i="32"/>
  <c r="E57" i="32" s="1"/>
  <c r="D55" i="32"/>
  <c r="D54" i="32"/>
  <c r="E54" i="32" s="1"/>
  <c r="R53" i="32"/>
  <c r="D41" i="32" s="1"/>
  <c r="E41" i="32" s="1"/>
  <c r="O53" i="32"/>
  <c r="D40" i="32" s="1"/>
  <c r="C51" i="32"/>
  <c r="U49" i="32"/>
  <c r="D49" i="32"/>
  <c r="E49" i="32" s="1"/>
  <c r="D47" i="32"/>
  <c r="E47" i="32" s="1"/>
  <c r="L46" i="32"/>
  <c r="D46" i="32"/>
  <c r="D51" i="32" s="1"/>
  <c r="D42" i="32"/>
  <c r="E42" i="32" s="1"/>
  <c r="X40" i="32"/>
  <c r="R40" i="32"/>
  <c r="D30" i="32" s="1"/>
  <c r="E30" i="32" s="1"/>
  <c r="U38" i="32"/>
  <c r="D31" i="32" s="1"/>
  <c r="E31" i="32" s="1"/>
  <c r="E37" i="32"/>
  <c r="C37" i="32"/>
  <c r="O36" i="32"/>
  <c r="D29" i="32" s="1"/>
  <c r="E29" i="32" s="1"/>
  <c r="L36" i="32"/>
  <c r="E36" i="32"/>
  <c r="D36" i="32"/>
  <c r="D37" i="32" s="1"/>
  <c r="C33" i="32"/>
  <c r="D32" i="32"/>
  <c r="E32" i="32" s="1"/>
  <c r="X29" i="32"/>
  <c r="D24" i="32" s="1"/>
  <c r="E24" i="32" s="1"/>
  <c r="U29" i="32"/>
  <c r="R29" i="32"/>
  <c r="O29" i="32"/>
  <c r="D21" i="32" s="1"/>
  <c r="E21" i="32" s="1"/>
  <c r="L29" i="32"/>
  <c r="D28" i="32"/>
  <c r="I23" i="32"/>
  <c r="D23" i="32"/>
  <c r="E23" i="32" s="1"/>
  <c r="U22" i="32"/>
  <c r="R22" i="32"/>
  <c r="D14" i="32" s="1"/>
  <c r="D22" i="32"/>
  <c r="E22" i="32" s="1"/>
  <c r="D20" i="32"/>
  <c r="X18" i="32"/>
  <c r="C17" i="32"/>
  <c r="O16" i="32"/>
  <c r="L16" i="32"/>
  <c r="E16" i="32"/>
  <c r="D15" i="32"/>
  <c r="E15" i="32" s="1"/>
  <c r="D13" i="32"/>
  <c r="E13" i="32" s="1"/>
  <c r="D12" i="32"/>
  <c r="E7" i="32"/>
  <c r="E9" i="32" s="1"/>
  <c r="X75" i="30"/>
  <c r="L72" i="30"/>
  <c r="U71" i="30"/>
  <c r="R71" i="30"/>
  <c r="D56" i="30" s="1"/>
  <c r="E56" i="30" s="1"/>
  <c r="O71" i="30"/>
  <c r="X64" i="30"/>
  <c r="R64" i="30"/>
  <c r="D48" i="30" s="1"/>
  <c r="E48" i="30" s="1"/>
  <c r="L61" i="30"/>
  <c r="U60" i="30"/>
  <c r="O60" i="30"/>
  <c r="C59" i="30"/>
  <c r="D58" i="30"/>
  <c r="E58" i="30" s="1"/>
  <c r="D57" i="30"/>
  <c r="E57" i="30" s="1"/>
  <c r="D55" i="30"/>
  <c r="E55" i="30" s="1"/>
  <c r="D54" i="30"/>
  <c r="E54" i="30" s="1"/>
  <c r="R53" i="30"/>
  <c r="O53" i="30"/>
  <c r="D40" i="30" s="1"/>
  <c r="C51" i="30"/>
  <c r="E50" i="30"/>
  <c r="D50" i="30"/>
  <c r="U49" i="30"/>
  <c r="D49" i="30"/>
  <c r="E49" i="30" s="1"/>
  <c r="D47" i="30"/>
  <c r="E47" i="30" s="1"/>
  <c r="L46" i="30"/>
  <c r="D46" i="30"/>
  <c r="D51" i="30" s="1"/>
  <c r="D42" i="30"/>
  <c r="E42" i="30" s="1"/>
  <c r="D41" i="30"/>
  <c r="E41" i="30" s="1"/>
  <c r="X40" i="30"/>
  <c r="R40" i="30"/>
  <c r="D30" i="30" s="1"/>
  <c r="E30" i="30" s="1"/>
  <c r="U38" i="30"/>
  <c r="C37" i="30"/>
  <c r="O36" i="30"/>
  <c r="L36" i="30"/>
  <c r="D36" i="30"/>
  <c r="D37" i="30" s="1"/>
  <c r="C33" i="30"/>
  <c r="E32" i="30"/>
  <c r="D32" i="30"/>
  <c r="E31" i="30"/>
  <c r="D31" i="30"/>
  <c r="X29" i="30"/>
  <c r="D24" i="30" s="1"/>
  <c r="E24" i="30" s="1"/>
  <c r="U29" i="30"/>
  <c r="R29" i="30"/>
  <c r="O29" i="30"/>
  <c r="L29" i="30"/>
  <c r="D29" i="30"/>
  <c r="E29" i="30" s="1"/>
  <c r="D28" i="30"/>
  <c r="D33" i="30" s="1"/>
  <c r="I23" i="30"/>
  <c r="D23" i="30"/>
  <c r="E23" i="30" s="1"/>
  <c r="U22" i="30"/>
  <c r="R22" i="30"/>
  <c r="D22" i="30"/>
  <c r="E22" i="30" s="1"/>
  <c r="D21" i="30"/>
  <c r="E21" i="30" s="1"/>
  <c r="D20" i="30"/>
  <c r="D25" i="30" s="1"/>
  <c r="X18" i="30"/>
  <c r="C17" i="30"/>
  <c r="O16" i="30"/>
  <c r="L16" i="30"/>
  <c r="D16" i="30"/>
  <c r="E16" i="30" s="1"/>
  <c r="D15" i="30"/>
  <c r="E15" i="30" s="1"/>
  <c r="D14" i="30"/>
  <c r="E14" i="30" s="1"/>
  <c r="D13" i="30"/>
  <c r="E13" i="30" s="1"/>
  <c r="D12" i="30"/>
  <c r="D17" i="30" s="1"/>
  <c r="E7" i="30"/>
  <c r="E9" i="30" s="1"/>
  <c r="X75" i="29"/>
  <c r="L72" i="29"/>
  <c r="U71" i="29"/>
  <c r="R71" i="29"/>
  <c r="D56" i="29" s="1"/>
  <c r="E56" i="29" s="1"/>
  <c r="O71" i="29"/>
  <c r="X64" i="29"/>
  <c r="D50" i="29" s="1"/>
  <c r="E50" i="29" s="1"/>
  <c r="R64" i="29"/>
  <c r="D48" i="29" s="1"/>
  <c r="E48" i="29" s="1"/>
  <c r="L61" i="29"/>
  <c r="U60" i="29"/>
  <c r="O60" i="29"/>
  <c r="C59" i="29"/>
  <c r="D58" i="29"/>
  <c r="E58" i="29" s="1"/>
  <c r="D57" i="29"/>
  <c r="E57" i="29" s="1"/>
  <c r="D55" i="29"/>
  <c r="D54" i="29"/>
  <c r="E54" i="29" s="1"/>
  <c r="R53" i="29"/>
  <c r="D41" i="29" s="1"/>
  <c r="E41" i="29" s="1"/>
  <c r="O53" i="29"/>
  <c r="D40" i="29" s="1"/>
  <c r="C51" i="29"/>
  <c r="U49" i="29"/>
  <c r="D49" i="29"/>
  <c r="E49" i="29" s="1"/>
  <c r="D47" i="29"/>
  <c r="E47" i="29" s="1"/>
  <c r="L46" i="29"/>
  <c r="D46" i="29"/>
  <c r="D51" i="29" s="1"/>
  <c r="D42" i="29"/>
  <c r="E42" i="29" s="1"/>
  <c r="X40" i="29"/>
  <c r="R40" i="29"/>
  <c r="D30" i="29" s="1"/>
  <c r="E30" i="29" s="1"/>
  <c r="U38" i="29"/>
  <c r="D31" i="29" s="1"/>
  <c r="E31" i="29" s="1"/>
  <c r="E37" i="29"/>
  <c r="C37" i="29"/>
  <c r="O36" i="29"/>
  <c r="D29" i="29" s="1"/>
  <c r="E29" i="29" s="1"/>
  <c r="L36" i="29"/>
  <c r="E36" i="29"/>
  <c r="D36" i="29"/>
  <c r="D37" i="29" s="1"/>
  <c r="C33" i="29"/>
  <c r="D32" i="29"/>
  <c r="E32" i="29" s="1"/>
  <c r="X29" i="29"/>
  <c r="D24" i="29" s="1"/>
  <c r="E24" i="29" s="1"/>
  <c r="U29" i="29"/>
  <c r="R29" i="29"/>
  <c r="O29" i="29"/>
  <c r="D21" i="29" s="1"/>
  <c r="E21" i="29" s="1"/>
  <c r="L29" i="29"/>
  <c r="D28" i="29"/>
  <c r="E28" i="29" s="1"/>
  <c r="I23" i="29"/>
  <c r="D23" i="29"/>
  <c r="E23" i="29" s="1"/>
  <c r="U22" i="29"/>
  <c r="R22" i="29"/>
  <c r="D22" i="29"/>
  <c r="E22" i="29" s="1"/>
  <c r="D20" i="29"/>
  <c r="X18" i="29"/>
  <c r="C17" i="29"/>
  <c r="O16" i="29"/>
  <c r="L16" i="29"/>
  <c r="D16" i="29"/>
  <c r="E16" i="29" s="1"/>
  <c r="D15" i="29"/>
  <c r="E15" i="29" s="1"/>
  <c r="D14" i="29"/>
  <c r="E14" i="29" s="1"/>
  <c r="E13" i="29"/>
  <c r="D13" i="29"/>
  <c r="D12" i="29"/>
  <c r="D17" i="29" s="1"/>
  <c r="E7" i="29"/>
  <c r="E9" i="29" s="1"/>
  <c r="C2" i="28"/>
  <c r="X75" i="28"/>
  <c r="L72" i="28"/>
  <c r="U71" i="28"/>
  <c r="R71" i="28"/>
  <c r="D56" i="28" s="1"/>
  <c r="O71" i="28"/>
  <c r="X64" i="28"/>
  <c r="D50" i="28" s="1"/>
  <c r="E50" i="28" s="1"/>
  <c r="R64" i="28"/>
  <c r="D48" i="28" s="1"/>
  <c r="E48" i="28" s="1"/>
  <c r="L61" i="28"/>
  <c r="U60" i="28"/>
  <c r="O60" i="28"/>
  <c r="C59" i="28"/>
  <c r="D58" i="28"/>
  <c r="E58" i="28" s="1"/>
  <c r="D57" i="28"/>
  <c r="E57" i="28" s="1"/>
  <c r="D55" i="28"/>
  <c r="E55" i="28" s="1"/>
  <c r="D54" i="28"/>
  <c r="E54" i="28" s="1"/>
  <c r="R53" i="28"/>
  <c r="D41" i="28" s="1"/>
  <c r="E41" i="28" s="1"/>
  <c r="O53" i="28"/>
  <c r="D40" i="28" s="1"/>
  <c r="C51" i="28"/>
  <c r="U49" i="28"/>
  <c r="D49" i="28"/>
  <c r="E49" i="28" s="1"/>
  <c r="D47" i="28"/>
  <c r="E47" i="28" s="1"/>
  <c r="L46" i="28"/>
  <c r="D46" i="28"/>
  <c r="D51" i="28" s="1"/>
  <c r="D42" i="28"/>
  <c r="E42" i="28" s="1"/>
  <c r="X40" i="28"/>
  <c r="R40" i="28"/>
  <c r="D30" i="28" s="1"/>
  <c r="E30" i="28" s="1"/>
  <c r="U38" i="28"/>
  <c r="D31" i="28" s="1"/>
  <c r="E31" i="28" s="1"/>
  <c r="C37" i="28"/>
  <c r="O36" i="28"/>
  <c r="D29" i="28" s="1"/>
  <c r="E29" i="28" s="1"/>
  <c r="L36" i="28"/>
  <c r="D36" i="28"/>
  <c r="D37" i="28" s="1"/>
  <c r="C33" i="28"/>
  <c r="D32" i="28"/>
  <c r="E32" i="28" s="1"/>
  <c r="X29" i="28"/>
  <c r="D24" i="28" s="1"/>
  <c r="E24" i="28" s="1"/>
  <c r="U29" i="28"/>
  <c r="R29" i="28"/>
  <c r="O29" i="28"/>
  <c r="D21" i="28" s="1"/>
  <c r="E21" i="28" s="1"/>
  <c r="L29" i="28"/>
  <c r="D28" i="28"/>
  <c r="E28" i="28" s="1"/>
  <c r="E33" i="28" s="1"/>
  <c r="I23" i="28"/>
  <c r="D23" i="28"/>
  <c r="E23" i="28" s="1"/>
  <c r="U22" i="28"/>
  <c r="R22" i="28"/>
  <c r="D22" i="28"/>
  <c r="E22" i="28" s="1"/>
  <c r="D20" i="28"/>
  <c r="X18" i="28"/>
  <c r="O16" i="28"/>
  <c r="L16" i="28"/>
  <c r="D16" i="28"/>
  <c r="E16" i="28" s="1"/>
  <c r="E15" i="28"/>
  <c r="D15" i="28"/>
  <c r="D14" i="28"/>
  <c r="E14" i="28" s="1"/>
  <c r="E13" i="28"/>
  <c r="D13" i="28"/>
  <c r="D12" i="28"/>
  <c r="D17" i="28" s="1"/>
  <c r="E7" i="28"/>
  <c r="E9" i="28" s="1"/>
  <c r="E6" i="28"/>
  <c r="C2" i="27"/>
  <c r="C2" i="26"/>
  <c r="X75" i="27"/>
  <c r="L72" i="27"/>
  <c r="U71" i="27"/>
  <c r="R71" i="27"/>
  <c r="D56" i="27" s="1"/>
  <c r="E56" i="27" s="1"/>
  <c r="O71" i="27"/>
  <c r="X64" i="27"/>
  <c r="D50" i="27" s="1"/>
  <c r="E50" i="27" s="1"/>
  <c r="R64" i="27"/>
  <c r="D48" i="27" s="1"/>
  <c r="E48" i="27" s="1"/>
  <c r="L61" i="27"/>
  <c r="U60" i="27"/>
  <c r="O60" i="27"/>
  <c r="C59" i="27"/>
  <c r="D58" i="27"/>
  <c r="E58" i="27" s="1"/>
  <c r="D57" i="27"/>
  <c r="E57" i="27" s="1"/>
  <c r="D55" i="27"/>
  <c r="D54" i="27"/>
  <c r="E54" i="27" s="1"/>
  <c r="R53" i="27"/>
  <c r="D41" i="27" s="1"/>
  <c r="E41" i="27" s="1"/>
  <c r="O53" i="27"/>
  <c r="D40" i="27" s="1"/>
  <c r="C51" i="27"/>
  <c r="U49" i="27"/>
  <c r="D49" i="27"/>
  <c r="E49" i="27" s="1"/>
  <c r="D47" i="27"/>
  <c r="E47" i="27" s="1"/>
  <c r="L46" i="27"/>
  <c r="D46" i="27"/>
  <c r="D51" i="27" s="1"/>
  <c r="D42" i="27"/>
  <c r="E42" i="27" s="1"/>
  <c r="X40" i="27"/>
  <c r="R40" i="27"/>
  <c r="D30" i="27" s="1"/>
  <c r="E30" i="27" s="1"/>
  <c r="U38" i="27"/>
  <c r="D31" i="27" s="1"/>
  <c r="E31" i="27" s="1"/>
  <c r="E37" i="27"/>
  <c r="C37" i="27"/>
  <c r="O36" i="27"/>
  <c r="D29" i="27" s="1"/>
  <c r="E29" i="27" s="1"/>
  <c r="L36" i="27"/>
  <c r="E36" i="27"/>
  <c r="D36" i="27"/>
  <c r="D37" i="27" s="1"/>
  <c r="C33" i="27"/>
  <c r="D32" i="27"/>
  <c r="E32" i="27" s="1"/>
  <c r="X29" i="27"/>
  <c r="D24" i="27" s="1"/>
  <c r="E24" i="27" s="1"/>
  <c r="U29" i="27"/>
  <c r="R29" i="27"/>
  <c r="O29" i="27"/>
  <c r="D21" i="27" s="1"/>
  <c r="E21" i="27" s="1"/>
  <c r="L29" i="27"/>
  <c r="D28" i="27"/>
  <c r="E28" i="27" s="1"/>
  <c r="I23" i="27"/>
  <c r="D23" i="27"/>
  <c r="E23" i="27" s="1"/>
  <c r="U22" i="27"/>
  <c r="R22" i="27"/>
  <c r="D22" i="27"/>
  <c r="E22" i="27" s="1"/>
  <c r="D20" i="27"/>
  <c r="X18" i="27"/>
  <c r="C17" i="27"/>
  <c r="O16" i="27"/>
  <c r="L16" i="27"/>
  <c r="D16" i="27"/>
  <c r="E16" i="27" s="1"/>
  <c r="D15" i="27"/>
  <c r="E15" i="27" s="1"/>
  <c r="D14" i="27"/>
  <c r="E14" i="27" s="1"/>
  <c r="E13" i="27"/>
  <c r="D13" i="27"/>
  <c r="D12" i="27"/>
  <c r="E12" i="27" s="1"/>
  <c r="E7" i="27"/>
  <c r="E9" i="27" s="1"/>
  <c r="X75" i="26"/>
  <c r="L72" i="26"/>
  <c r="U71" i="26"/>
  <c r="R71" i="26"/>
  <c r="D56" i="26" s="1"/>
  <c r="E56" i="26" s="1"/>
  <c r="O71" i="26"/>
  <c r="X64" i="26"/>
  <c r="D50" i="26" s="1"/>
  <c r="E50" i="26" s="1"/>
  <c r="R64" i="26"/>
  <c r="D48" i="26" s="1"/>
  <c r="E48" i="26" s="1"/>
  <c r="L61" i="26"/>
  <c r="U60" i="26"/>
  <c r="O60" i="26"/>
  <c r="C59" i="26"/>
  <c r="D58" i="26"/>
  <c r="E58" i="26" s="1"/>
  <c r="D57" i="26"/>
  <c r="E57" i="26" s="1"/>
  <c r="D55" i="26"/>
  <c r="D54" i="26"/>
  <c r="E54" i="26" s="1"/>
  <c r="R53" i="26"/>
  <c r="D41" i="26" s="1"/>
  <c r="E41" i="26" s="1"/>
  <c r="O53" i="26"/>
  <c r="D40" i="26" s="1"/>
  <c r="D40" i="33" s="1"/>
  <c r="C51" i="26"/>
  <c r="U49" i="26"/>
  <c r="D49" i="26"/>
  <c r="E49" i="26" s="1"/>
  <c r="D47" i="26"/>
  <c r="E47" i="26" s="1"/>
  <c r="L46" i="26"/>
  <c r="D46" i="26"/>
  <c r="D51" i="26" s="1"/>
  <c r="C43" i="26"/>
  <c r="D42" i="26"/>
  <c r="E42" i="26" s="1"/>
  <c r="X40" i="26"/>
  <c r="R40" i="26"/>
  <c r="D30" i="26" s="1"/>
  <c r="E30" i="26" s="1"/>
  <c r="U38" i="26"/>
  <c r="D31" i="26" s="1"/>
  <c r="E31" i="26" s="1"/>
  <c r="E37" i="26"/>
  <c r="C37" i="26"/>
  <c r="O36" i="26"/>
  <c r="D29" i="26" s="1"/>
  <c r="E29" i="26" s="1"/>
  <c r="L36" i="26"/>
  <c r="E36" i="26"/>
  <c r="D36" i="26"/>
  <c r="D37" i="26" s="1"/>
  <c r="C33" i="26"/>
  <c r="D32" i="26"/>
  <c r="E32" i="26" s="1"/>
  <c r="X29" i="26"/>
  <c r="D24" i="26" s="1"/>
  <c r="E24" i="26" s="1"/>
  <c r="U29" i="26"/>
  <c r="R29" i="26"/>
  <c r="O29" i="26"/>
  <c r="D21" i="26" s="1"/>
  <c r="E21" i="26" s="1"/>
  <c r="L29" i="26"/>
  <c r="D28" i="26"/>
  <c r="E28" i="26" s="1"/>
  <c r="I23" i="26"/>
  <c r="D23" i="26"/>
  <c r="E23" i="26" s="1"/>
  <c r="U22" i="26"/>
  <c r="D15" i="26" s="1"/>
  <c r="R22" i="26"/>
  <c r="D22" i="26"/>
  <c r="E22" i="26" s="1"/>
  <c r="D20" i="26"/>
  <c r="X18" i="26"/>
  <c r="C17" i="26"/>
  <c r="O16" i="26"/>
  <c r="L16" i="26"/>
  <c r="D16" i="26"/>
  <c r="E16" i="26" s="1"/>
  <c r="D14" i="26"/>
  <c r="E14" i="26" s="1"/>
  <c r="E13" i="26"/>
  <c r="D13" i="26"/>
  <c r="D12" i="26"/>
  <c r="E12" i="26" s="1"/>
  <c r="E7" i="26"/>
  <c r="E9" i="26" s="1"/>
  <c r="C2" i="25"/>
  <c r="X75" i="25"/>
  <c r="L72" i="25"/>
  <c r="U71" i="25"/>
  <c r="R71" i="25"/>
  <c r="D56" i="25" s="1"/>
  <c r="E56" i="25" s="1"/>
  <c r="O71" i="25"/>
  <c r="X64" i="25"/>
  <c r="R64" i="25"/>
  <c r="D48" i="25" s="1"/>
  <c r="E48" i="25" s="1"/>
  <c r="L61" i="25"/>
  <c r="U60" i="25"/>
  <c r="O60" i="25"/>
  <c r="C59" i="25"/>
  <c r="D58" i="25"/>
  <c r="E58" i="25" s="1"/>
  <c r="D57" i="25"/>
  <c r="E57" i="25" s="1"/>
  <c r="D55" i="25"/>
  <c r="E55" i="25" s="1"/>
  <c r="D54" i="25"/>
  <c r="E54" i="25" s="1"/>
  <c r="R53" i="25"/>
  <c r="O53" i="25"/>
  <c r="D40" i="25" s="1"/>
  <c r="C51" i="25"/>
  <c r="E50" i="25"/>
  <c r="D50" i="25"/>
  <c r="U49" i="25"/>
  <c r="D49" i="25"/>
  <c r="E49" i="25" s="1"/>
  <c r="D47" i="25"/>
  <c r="E47" i="25" s="1"/>
  <c r="L46" i="25"/>
  <c r="D46" i="25"/>
  <c r="D51" i="25" s="1"/>
  <c r="D42" i="25"/>
  <c r="E42" i="25" s="1"/>
  <c r="D41" i="25"/>
  <c r="E41" i="25" s="1"/>
  <c r="X40" i="25"/>
  <c r="R40" i="25"/>
  <c r="D30" i="25" s="1"/>
  <c r="E30" i="25" s="1"/>
  <c r="U38" i="25"/>
  <c r="C37" i="25"/>
  <c r="O36" i="25"/>
  <c r="L36" i="25"/>
  <c r="D28" i="25" s="1"/>
  <c r="D36" i="25"/>
  <c r="D37" i="25" s="1"/>
  <c r="C33" i="25"/>
  <c r="E32" i="25"/>
  <c r="D32" i="25"/>
  <c r="E31" i="25"/>
  <c r="D31" i="25"/>
  <c r="X29" i="25"/>
  <c r="D24" i="25" s="1"/>
  <c r="E24" i="25" s="1"/>
  <c r="U29" i="25"/>
  <c r="R29" i="25"/>
  <c r="O29" i="25"/>
  <c r="L29" i="25"/>
  <c r="D29" i="25"/>
  <c r="E29" i="25" s="1"/>
  <c r="I23" i="25"/>
  <c r="D23" i="25"/>
  <c r="E23" i="25" s="1"/>
  <c r="U22" i="25"/>
  <c r="R22" i="25"/>
  <c r="D22" i="25"/>
  <c r="E22" i="25" s="1"/>
  <c r="D21" i="25"/>
  <c r="E21" i="25" s="1"/>
  <c r="D20" i="25"/>
  <c r="D25" i="25" s="1"/>
  <c r="X18" i="25"/>
  <c r="C17" i="25"/>
  <c r="O16" i="25"/>
  <c r="L16" i="25"/>
  <c r="D12" i="25" s="1"/>
  <c r="D17" i="25" s="1"/>
  <c r="D16" i="25"/>
  <c r="E16" i="25" s="1"/>
  <c r="D15" i="25"/>
  <c r="E15" i="25" s="1"/>
  <c r="D14" i="25"/>
  <c r="E14" i="25" s="1"/>
  <c r="D13" i="25"/>
  <c r="E13" i="25" s="1"/>
  <c r="E7" i="25"/>
  <c r="E9" i="25" s="1"/>
  <c r="E14" i="32" l="1"/>
  <c r="D17" i="32"/>
  <c r="E15" i="26"/>
  <c r="D15" i="33"/>
  <c r="E17" i="26"/>
  <c r="E20" i="27"/>
  <c r="E25" i="27" s="1"/>
  <c r="E20" i="32"/>
  <c r="E25" i="32" s="1"/>
  <c r="E4" i="33"/>
  <c r="C40" i="33"/>
  <c r="C43" i="33" s="1"/>
  <c r="E23" i="33"/>
  <c r="C33" i="33"/>
  <c r="E16" i="33"/>
  <c r="E20" i="26"/>
  <c r="E25" i="26" s="1"/>
  <c r="C20" i="33"/>
  <c r="C25" i="33" s="1"/>
  <c r="E20" i="29"/>
  <c r="E25" i="29" s="1"/>
  <c r="E62" i="32"/>
  <c r="L4" i="32" s="1"/>
  <c r="E42" i="33"/>
  <c r="E41" i="33"/>
  <c r="E62" i="29"/>
  <c r="L4" i="29" s="1"/>
  <c r="E20" i="28"/>
  <c r="E25" i="28" s="1"/>
  <c r="E62" i="25"/>
  <c r="L4" i="25" s="1"/>
  <c r="E62" i="30"/>
  <c r="L4" i="30" s="1"/>
  <c r="E62" i="27"/>
  <c r="L4" i="27" s="1"/>
  <c r="E62" i="26"/>
  <c r="L4" i="26" s="1"/>
  <c r="E22" i="33"/>
  <c r="E21" i="33"/>
  <c r="E49" i="33"/>
  <c r="D51" i="33"/>
  <c r="E31" i="33"/>
  <c r="E55" i="33"/>
  <c r="D25" i="33"/>
  <c r="E57" i="33"/>
  <c r="E58" i="33"/>
  <c r="C59" i="33"/>
  <c r="E54" i="33"/>
  <c r="E50" i="33"/>
  <c r="C51" i="33"/>
  <c r="D33" i="25"/>
  <c r="D28" i="33"/>
  <c r="E28" i="33" s="1"/>
  <c r="E32" i="33"/>
  <c r="E24" i="33"/>
  <c r="D12" i="33"/>
  <c r="D43" i="33"/>
  <c r="D59" i="33"/>
  <c r="E46" i="33"/>
  <c r="E36" i="33"/>
  <c r="E37" i="33" s="1"/>
  <c r="D33" i="32"/>
  <c r="D59" i="32"/>
  <c r="D43" i="32"/>
  <c r="E40" i="32"/>
  <c r="E43" i="32" s="1"/>
  <c r="E28" i="32"/>
  <c r="E33" i="32" s="1"/>
  <c r="E55" i="32"/>
  <c r="E59" i="32" s="1"/>
  <c r="D25" i="32"/>
  <c r="E64" i="32" s="1"/>
  <c r="L6" i="32" s="1"/>
  <c r="E46" i="32"/>
  <c r="E51" i="32" s="1"/>
  <c r="E12" i="32"/>
  <c r="E17" i="32" s="1"/>
  <c r="E59" i="30"/>
  <c r="D43" i="30"/>
  <c r="E64" i="30" s="1"/>
  <c r="L6" i="30" s="1"/>
  <c r="E40" i="30"/>
  <c r="E43" i="30" s="1"/>
  <c r="E12" i="30"/>
  <c r="E17" i="30" s="1"/>
  <c r="E20" i="30"/>
  <c r="E25" i="30" s="1"/>
  <c r="E28" i="30"/>
  <c r="E33" i="30" s="1"/>
  <c r="D59" i="30"/>
  <c r="E46" i="30"/>
  <c r="E51" i="30" s="1"/>
  <c r="E36" i="30"/>
  <c r="E37" i="30" s="1"/>
  <c r="E33" i="29"/>
  <c r="D59" i="29"/>
  <c r="D43" i="29"/>
  <c r="E40" i="29"/>
  <c r="E43" i="29" s="1"/>
  <c r="D33" i="29"/>
  <c r="E12" i="29"/>
  <c r="E17" i="29" s="1"/>
  <c r="E55" i="29"/>
  <c r="E59" i="29" s="1"/>
  <c r="D25" i="29"/>
  <c r="E64" i="29" s="1"/>
  <c r="L6" i="29" s="1"/>
  <c r="E46" i="29"/>
  <c r="E51" i="29" s="1"/>
  <c r="E56" i="28"/>
  <c r="D59" i="28"/>
  <c r="E59" i="28"/>
  <c r="D43" i="28"/>
  <c r="E40" i="28"/>
  <c r="E43" i="28" s="1"/>
  <c r="D25" i="28"/>
  <c r="E64" i="28" s="1"/>
  <c r="L6" i="28" s="1"/>
  <c r="E46" i="28"/>
  <c r="E51" i="28" s="1"/>
  <c r="D33" i="28"/>
  <c r="E36" i="28"/>
  <c r="E37" i="28" s="1"/>
  <c r="E33" i="27"/>
  <c r="D59" i="27"/>
  <c r="E17" i="27"/>
  <c r="D43" i="27"/>
  <c r="E40" i="27"/>
  <c r="E43" i="27" s="1"/>
  <c r="D17" i="27"/>
  <c r="E55" i="27"/>
  <c r="E59" i="27" s="1"/>
  <c r="D25" i="27"/>
  <c r="E46" i="27"/>
  <c r="E51" i="27" s="1"/>
  <c r="D33" i="27"/>
  <c r="E33" i="26"/>
  <c r="D59" i="26"/>
  <c r="D43" i="26"/>
  <c r="E40" i="26"/>
  <c r="E43" i="26" s="1"/>
  <c r="D17" i="26"/>
  <c r="E55" i="26"/>
  <c r="E59" i="26" s="1"/>
  <c r="D25" i="26"/>
  <c r="E46" i="26"/>
  <c r="E51" i="26" s="1"/>
  <c r="D33" i="26"/>
  <c r="E59" i="25"/>
  <c r="D43" i="25"/>
  <c r="E40" i="25"/>
  <c r="E43" i="25" s="1"/>
  <c r="E12" i="25"/>
  <c r="E17" i="25" s="1"/>
  <c r="E20" i="25"/>
  <c r="E25" i="25" s="1"/>
  <c r="E28" i="25"/>
  <c r="E33" i="25" s="1"/>
  <c r="D59" i="25"/>
  <c r="E46" i="25"/>
  <c r="E51" i="25" s="1"/>
  <c r="E36" i="25"/>
  <c r="E37" i="25" s="1"/>
  <c r="E20" i="33" l="1"/>
  <c r="E40" i="33"/>
  <c r="E43" i="33" s="1"/>
  <c r="L8" i="32"/>
  <c r="L8" i="30"/>
  <c r="L8" i="29"/>
  <c r="E59" i="33"/>
  <c r="E25" i="33"/>
  <c r="E33" i="33"/>
  <c r="E51" i="33"/>
  <c r="D33" i="33"/>
  <c r="E64" i="25"/>
  <c r="L6" i="25" s="1"/>
  <c r="E12" i="33"/>
  <c r="E66" i="32"/>
  <c r="E66" i="30"/>
  <c r="E66" i="29"/>
  <c r="E64" i="27"/>
  <c r="L6" i="27" s="1"/>
  <c r="L8" i="27" s="1"/>
  <c r="E66" i="27"/>
  <c r="E66" i="26"/>
  <c r="E64" i="26"/>
  <c r="L6" i="26" s="1"/>
  <c r="L8" i="26" s="1"/>
  <c r="L8" i="25"/>
  <c r="E66" i="25"/>
  <c r="D20" i="21"/>
  <c r="D58" i="21"/>
  <c r="D57" i="21"/>
  <c r="D55" i="21"/>
  <c r="D56" i="21"/>
  <c r="D54" i="21"/>
  <c r="D50" i="21"/>
  <c r="D48" i="21"/>
  <c r="D49" i="21"/>
  <c r="D47" i="21"/>
  <c r="D46" i="21"/>
  <c r="D42" i="21"/>
  <c r="D41" i="21"/>
  <c r="D40" i="21"/>
  <c r="D36" i="21"/>
  <c r="D32" i="21"/>
  <c r="D31" i="21"/>
  <c r="D30" i="21"/>
  <c r="D29" i="21"/>
  <c r="D28" i="21"/>
  <c r="D23" i="21"/>
  <c r="D22" i="21"/>
  <c r="D24" i="21"/>
  <c r="D21" i="21"/>
  <c r="D16" i="21"/>
  <c r="E16" i="21" s="1"/>
  <c r="D15" i="21"/>
  <c r="E15" i="21" s="1"/>
  <c r="D13" i="21"/>
  <c r="E13" i="21" s="1"/>
  <c r="D12" i="21"/>
  <c r="E7" i="21"/>
  <c r="E14" i="21" l="1"/>
  <c r="D14" i="33"/>
  <c r="D17" i="21"/>
  <c r="E40" i="21"/>
  <c r="E28" i="21"/>
  <c r="E21" i="21"/>
  <c r="E23" i="21"/>
  <c r="E56" i="21"/>
  <c r="E32" i="21"/>
  <c r="E22" i="21"/>
  <c r="D37" i="21"/>
  <c r="E46" i="21"/>
  <c r="E48" i="21"/>
  <c r="C51" i="21"/>
  <c r="E50" i="21"/>
  <c r="E49" i="21"/>
  <c r="C43" i="21"/>
  <c r="E42" i="21"/>
  <c r="C37" i="21"/>
  <c r="E36" i="21"/>
  <c r="C33" i="21"/>
  <c r="E31" i="21"/>
  <c r="C25" i="21"/>
  <c r="C59" i="21"/>
  <c r="E24" i="21"/>
  <c r="E58" i="21"/>
  <c r="E57" i="21"/>
  <c r="E55" i="21"/>
  <c r="E54" i="21"/>
  <c r="E6" i="21"/>
  <c r="E6" i="33" s="1"/>
  <c r="E9" i="21"/>
  <c r="E30" i="21"/>
  <c r="E14" i="33" l="1"/>
  <c r="D17" i="33"/>
  <c r="E64" i="33" s="1"/>
  <c r="M16" i="33"/>
  <c r="E20" i="21"/>
  <c r="E25" i="21" s="1"/>
  <c r="D25" i="21"/>
  <c r="E37" i="21"/>
  <c r="D59" i="21"/>
  <c r="E59" i="21"/>
  <c r="E47" i="21"/>
  <c r="E51" i="21" s="1"/>
  <c r="D51" i="21"/>
  <c r="D33" i="21"/>
  <c r="E29" i="21"/>
  <c r="E33" i="21" s="1"/>
  <c r="E41" i="21"/>
  <c r="E43" i="21" s="1"/>
  <c r="D43" i="21"/>
  <c r="L6" i="33" l="1"/>
  <c r="M27" i="33"/>
  <c r="M35" i="33" s="1"/>
  <c r="E64" i="21"/>
  <c r="L6" i="21" s="1"/>
  <c r="C12" i="28"/>
  <c r="E12" i="28" s="1"/>
  <c r="C15" i="33"/>
  <c r="C17" i="33" s="1"/>
  <c r="E62" i="33" s="1"/>
  <c r="M12" i="33" s="1"/>
  <c r="M20" i="33" s="1"/>
  <c r="C12" i="21"/>
  <c r="L4" i="33" l="1"/>
  <c r="L8" i="33" s="1"/>
  <c r="E12" i="21"/>
  <c r="E17" i="21" s="1"/>
  <c r="E66" i="21" s="1"/>
  <c r="C17" i="28"/>
  <c r="E62" i="28" s="1"/>
  <c r="L4" i="28" s="1"/>
  <c r="L8" i="28" s="1"/>
  <c r="E17" i="28"/>
  <c r="E66" i="28" s="1"/>
  <c r="C17" i="21"/>
  <c r="E62" i="21" s="1"/>
  <c r="L4" i="21" s="1"/>
  <c r="L8" i="21" s="1"/>
  <c r="E15" i="33"/>
  <c r="E17" i="33" s="1"/>
  <c r="E66" i="33" s="1"/>
</calcChain>
</file>

<file path=xl/sharedStrings.xml><?xml version="1.0" encoding="utf-8"?>
<sst xmlns="http://schemas.openxmlformats.org/spreadsheetml/2006/main" count="1953" uniqueCount="113">
  <si>
    <t>Projected Cost</t>
  </si>
  <si>
    <t>Actual Cost</t>
  </si>
  <si>
    <t>Difference</t>
  </si>
  <si>
    <t>Income 1</t>
  </si>
  <si>
    <t>Phone</t>
  </si>
  <si>
    <t>Supplies</t>
  </si>
  <si>
    <t>Other</t>
  </si>
  <si>
    <t>Insurance</t>
  </si>
  <si>
    <t>Fuel</t>
  </si>
  <si>
    <t>Maintenance</t>
  </si>
  <si>
    <t>Groceries</t>
  </si>
  <si>
    <t>Food</t>
  </si>
  <si>
    <t>Medical</t>
  </si>
  <si>
    <t>Clothing</t>
  </si>
  <si>
    <t>Hair/nails</t>
  </si>
  <si>
    <t>Dining out</t>
  </si>
  <si>
    <t>Movies</t>
  </si>
  <si>
    <t>Concerts</t>
  </si>
  <si>
    <t>Extra income</t>
  </si>
  <si>
    <t>Total monthly income</t>
  </si>
  <si>
    <t>Vehicle payment</t>
  </si>
  <si>
    <t>Sporting events</t>
  </si>
  <si>
    <t>HOUSING</t>
  </si>
  <si>
    <t>ENTERTAINMENT</t>
  </si>
  <si>
    <t>TRANSPORTATION</t>
  </si>
  <si>
    <t>INSURANCE</t>
  </si>
  <si>
    <t>FOOD</t>
  </si>
  <si>
    <t>PERSONAL CARE</t>
  </si>
  <si>
    <t>ACTUAL MONTHLY INCOME</t>
  </si>
  <si>
    <t>PROJECTED MONTHLY INCOME</t>
  </si>
  <si>
    <t>TOTAL PROJECTED COST</t>
  </si>
  <si>
    <t>TOTAL ACTUAL COST</t>
  </si>
  <si>
    <t>TOTAL DIFFERENCE</t>
  </si>
  <si>
    <t>Total</t>
  </si>
  <si>
    <t>PROJECTED BALANCE (Projected income minus expenses)</t>
  </si>
  <si>
    <t>ACTUAL BALANCE (Actual income minus expenses)</t>
  </si>
  <si>
    <t>DIFFERENCE (Actual minus projected)</t>
  </si>
  <si>
    <t>Cable/Internet</t>
  </si>
  <si>
    <t>Purchase</t>
  </si>
  <si>
    <t>Vehicle Payment</t>
  </si>
  <si>
    <t>Dining Out</t>
  </si>
  <si>
    <t>Gifts</t>
  </si>
  <si>
    <t>Income</t>
  </si>
  <si>
    <t>Cineplex</t>
  </si>
  <si>
    <t>Part Time Job</t>
  </si>
  <si>
    <t>Savings</t>
  </si>
  <si>
    <t>Amount</t>
  </si>
  <si>
    <t>Utilities</t>
  </si>
  <si>
    <t>Rent</t>
  </si>
  <si>
    <t>Gym</t>
  </si>
  <si>
    <t>Tuition</t>
  </si>
  <si>
    <t>Additional Fees</t>
  </si>
  <si>
    <t>Books/Course Materials</t>
  </si>
  <si>
    <t>First Semester</t>
  </si>
  <si>
    <t>Books</t>
  </si>
  <si>
    <t>Textbook 1</t>
  </si>
  <si>
    <t>Library</t>
  </si>
  <si>
    <t>Binders</t>
  </si>
  <si>
    <t>Housing</t>
  </si>
  <si>
    <t>Provider</t>
  </si>
  <si>
    <t>Hydro</t>
  </si>
  <si>
    <t>Cleaning Supplies</t>
  </si>
  <si>
    <t>Bus/taxi/train</t>
  </si>
  <si>
    <t>Transportation</t>
  </si>
  <si>
    <t>Payment</t>
  </si>
  <si>
    <t>Station</t>
  </si>
  <si>
    <t>Ticket price</t>
  </si>
  <si>
    <t>Canadian Tire</t>
  </si>
  <si>
    <t>Rental Insurance</t>
  </si>
  <si>
    <t>Grocery Store</t>
  </si>
  <si>
    <t>Fast Food</t>
  </si>
  <si>
    <t>Hair/Nails</t>
  </si>
  <si>
    <t>Birthday</t>
  </si>
  <si>
    <t>Salon</t>
  </si>
  <si>
    <t>Mall</t>
  </si>
  <si>
    <t>Personal Care</t>
  </si>
  <si>
    <t>Entertainment</t>
  </si>
  <si>
    <t>Sporting Events</t>
  </si>
  <si>
    <t>Local Show</t>
  </si>
  <si>
    <t>Hockey Game</t>
  </si>
  <si>
    <t>SCHOOL</t>
  </si>
  <si>
    <t>Gifts for friends/family</t>
  </si>
  <si>
    <t>Clinic</t>
  </si>
  <si>
    <t>How Much Money Do you Have?</t>
  </si>
  <si>
    <t>RESPs/Parent Contribution</t>
  </si>
  <si>
    <t>University Scholarship</t>
  </si>
  <si>
    <t>Living Situation</t>
  </si>
  <si>
    <t>Are you living in Residence this year?</t>
  </si>
  <si>
    <t>Please Answer</t>
  </si>
  <si>
    <t>Yes</t>
  </si>
  <si>
    <t>No</t>
  </si>
  <si>
    <t>What is your tuition cost for the year?</t>
  </si>
  <si>
    <t>Groceries/Meal Plan</t>
  </si>
  <si>
    <r>
      <t xml:space="preserve">If </t>
    </r>
    <r>
      <rPr>
        <b/>
        <sz val="10"/>
        <color theme="1"/>
        <rFont val="Calibri"/>
        <family val="2"/>
        <scheme val="minor"/>
      </rPr>
      <t xml:space="preserve">YES </t>
    </r>
    <r>
      <rPr>
        <sz val="10"/>
        <color theme="1"/>
        <rFont val="Calibri"/>
        <family val="2"/>
        <scheme val="minor"/>
      </rPr>
      <t>to living in residence please entre cost of residence fees for the year?</t>
    </r>
  </si>
  <si>
    <r>
      <t xml:space="preserve">If </t>
    </r>
    <r>
      <rPr>
        <b/>
        <sz val="10"/>
        <color theme="1"/>
        <rFont val="Calibri"/>
        <family val="2"/>
        <scheme val="minor"/>
      </rPr>
      <t xml:space="preserve">YES </t>
    </r>
    <r>
      <rPr>
        <sz val="10"/>
        <color theme="1"/>
        <rFont val="Calibri"/>
        <family val="2"/>
        <scheme val="minor"/>
      </rPr>
      <t>to living in residence please entre cost for meal plan for the year?</t>
    </r>
  </si>
  <si>
    <t>On average income do you receive per month</t>
  </si>
  <si>
    <t>Projected Income + Savings</t>
  </si>
  <si>
    <t>How it works:</t>
  </si>
  <si>
    <t>This is a tool designed to help students financially plan for the upcoming year of post-secondary school and determine if/how much debt they will need to take on to pay for school</t>
  </si>
  <si>
    <r>
      <t xml:space="preserve">If </t>
    </r>
    <r>
      <rPr>
        <b/>
        <sz val="10"/>
        <color theme="1"/>
        <rFont val="Calibri"/>
        <family val="2"/>
        <scheme val="minor"/>
      </rPr>
      <t xml:space="preserve">YES </t>
    </r>
    <r>
      <rPr>
        <sz val="10"/>
        <color theme="1"/>
        <rFont val="Calibri"/>
        <family val="2"/>
        <scheme val="minor"/>
      </rPr>
      <t>how much are you paying in rent per month?</t>
    </r>
  </si>
  <si>
    <t>Are you paying rent this year? (Select no if living in residence)</t>
  </si>
  <si>
    <t>Other Scholarships (Psst...Check out ScholarTree.ca)</t>
  </si>
  <si>
    <t xml:space="preserve">2. Take a look at the "School Year Summary" tab. It will show you how much school will cost based on current averages for expenses. You can edit these if they are not correct for your situation. We suggest editing them on a monthly basis as it is easier to break expenses into monthly amount than over the full school year. The formulas embedded in the Workbook sum up the monthly values onto the "School Year Summary" sheet								</t>
  </si>
  <si>
    <t>1. Fill out the information below to help populate the other workbook. We have set some defaults but make sure to enter what makes sense for you.</t>
  </si>
  <si>
    <t>School</t>
  </si>
  <si>
    <t>By:</t>
  </si>
  <si>
    <t>3. Every month update the current month's tab with your actual expenses tab and check if you are sticking to your budget.</t>
  </si>
  <si>
    <t>Projected Loan Needed</t>
  </si>
  <si>
    <t>School Year Budget Planner</t>
  </si>
  <si>
    <t>Actual Income + Savings</t>
  </si>
  <si>
    <t>Actual Loan Needed</t>
  </si>
  <si>
    <t>https://scholartree.ca/</t>
  </si>
  <si>
    <t>no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</si>
</sst>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164" formatCode="&quot;$&quot;#,##0"/>
    <numFmt numFmtId="165" formatCode="_(&quot;$&quot;* #,##0_);_(&quot;$&quot;* \(#,##0\);_(&quot;$&quot;* &quot;-&quot;??_);_(@_)"/>
  </numFmts>
  <fonts count="17" x14ac:knownFonts="1">
    <font>
      <sz val="10"/>
      <color theme="1"/>
      <name val="Calibri"/>
      <family val="2"/>
      <scheme val="minor"/>
    </font>
    <font>
      <sz val="30"/>
      <color indexed="63"/>
      <name val="Calibri"/>
      <family val="2"/>
      <scheme val="minor"/>
    </font>
    <font>
      <sz val="10"/>
      <color indexed="63"/>
      <name val="Calibri"/>
      <family val="2"/>
      <scheme val="minor"/>
    </font>
    <font>
      <b/>
      <sz val="10"/>
      <color indexed="63"/>
      <name val="Calibri"/>
      <family val="2"/>
      <scheme val="minor"/>
    </font>
    <font>
      <sz val="26"/>
      <color indexed="63"/>
      <name val="Cambria"/>
      <family val="1"/>
      <scheme val="major"/>
    </font>
    <font>
      <sz val="10"/>
      <name val="Calibri"/>
      <family val="2"/>
      <scheme val="minor"/>
    </font>
    <font>
      <b/>
      <sz val="10"/>
      <name val="Calibri"/>
      <family val="2"/>
      <scheme val="minor"/>
    </font>
    <font>
      <b/>
      <sz val="10"/>
      <color theme="1"/>
      <name val="Calibri"/>
      <family val="2"/>
      <scheme val="minor"/>
    </font>
    <font>
      <u/>
      <sz val="10"/>
      <color theme="10"/>
      <name val="Calibri"/>
      <family val="2"/>
      <scheme val="minor"/>
    </font>
    <font>
      <u/>
      <sz val="10"/>
      <color theme="11"/>
      <name val="Calibri"/>
      <family val="2"/>
      <scheme val="minor"/>
    </font>
    <font>
      <sz val="10"/>
      <name val="Calibri"/>
      <family val="2"/>
      <scheme val="minor"/>
    </font>
    <font>
      <b/>
      <sz val="10"/>
      <name val="Calibri"/>
      <family val="2"/>
      <scheme val="minor"/>
    </font>
    <font>
      <sz val="20"/>
      <color indexed="63"/>
      <name val="Cambria"/>
      <family val="1"/>
      <scheme val="major"/>
    </font>
    <font>
      <sz val="10"/>
      <color theme="1"/>
      <name val="Calibri"/>
      <family val="2"/>
      <scheme val="minor"/>
    </font>
    <font>
      <b/>
      <sz val="36"/>
      <color indexed="63"/>
      <name val="Calibri"/>
      <family val="2"/>
      <scheme val="minor"/>
    </font>
    <font>
      <sz val="20"/>
      <color theme="1"/>
      <name val="Calibri"/>
      <family val="2"/>
      <scheme val="minor"/>
    </font>
    <font>
      <sz val="16"/>
      <color theme="1"/>
      <name val="Calibri"/>
      <family val="2"/>
      <scheme val="minor"/>
    </font>
  </fonts>
  <fills count="9">
    <fill>
      <patternFill patternType="none"/>
    </fill>
    <fill>
      <patternFill patternType="gray125"/>
    </fill>
    <fill>
      <patternFill patternType="solid">
        <fgColor indexed="9"/>
        <bgColor auto="1"/>
      </patternFill>
    </fill>
    <fill>
      <patternFill patternType="solid">
        <fgColor theme="4" tint="0.59996337778862885"/>
        <bgColor indexed="65"/>
      </patternFill>
    </fill>
    <fill>
      <patternFill patternType="solid">
        <fgColor theme="5" tint="0.79998168889431442"/>
        <bgColor indexed="65"/>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5" tint="0.79998168889431442"/>
        <bgColor indexed="64"/>
      </patternFill>
    </fill>
  </fills>
  <borders count="32">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4" tint="0.39994506668294322"/>
      </right>
      <top/>
      <bottom/>
      <diagonal/>
    </border>
    <border>
      <left style="thin">
        <color theme="4" tint="0.39994506668294322"/>
      </left>
      <right style="thin">
        <color theme="4" tint="0.39994506668294322"/>
      </right>
      <top/>
      <bottom/>
      <diagonal/>
    </border>
    <border>
      <left style="thin">
        <color theme="4" tint="0.39994506668294322"/>
      </left>
      <right/>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style="medium">
        <color indexed="64"/>
      </right>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bottom/>
      <diagonal/>
    </border>
    <border>
      <left/>
      <right style="thin">
        <color theme="0"/>
      </right>
      <top/>
      <bottom/>
      <diagonal/>
    </border>
  </borders>
  <cellStyleXfs count="33">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4" fontId="13" fillId="0" borderId="0" applyFont="0" applyFill="0" applyBorder="0" applyAlignment="0" applyProtection="0"/>
    <xf numFmtId="0" fontId="8" fillId="0" borderId="0" applyNumberFormat="0" applyFill="0" applyBorder="0" applyAlignment="0" applyProtection="0"/>
  </cellStyleXfs>
  <cellXfs count="152">
    <xf numFmtId="0" fontId="0" fillId="0" borderId="0" xfId="0"/>
    <xf numFmtId="0" fontId="1" fillId="0" borderId="0" xfId="0" applyFont="1" applyBorder="1" applyAlignment="1">
      <alignment horizontal="left" wrapText="1"/>
    </xf>
    <xf numFmtId="0" fontId="2" fillId="0" borderId="0" xfId="0" applyFont="1" applyAlignment="1">
      <alignment horizontal="left" vertical="center"/>
    </xf>
    <xf numFmtId="0" fontId="2" fillId="0" borderId="0" xfId="0" applyFont="1" applyAlignment="1">
      <alignment horizontal="left"/>
    </xf>
    <xf numFmtId="0" fontId="2"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3" fillId="2" borderId="0" xfId="0" applyFont="1" applyFill="1" applyBorder="1" applyAlignment="1">
      <alignment vertical="center" wrapText="1"/>
    </xf>
    <xf numFmtId="0" fontId="2" fillId="2" borderId="0" xfId="0" applyFont="1" applyFill="1" applyBorder="1" applyAlignment="1">
      <alignment horizontal="left" vertical="center"/>
    </xf>
    <xf numFmtId="0" fontId="2" fillId="2" borderId="0" xfId="0" applyFont="1" applyFill="1" applyBorder="1" applyAlignment="1">
      <alignment horizontal="left" vertical="center" wrapText="1"/>
    </xf>
    <xf numFmtId="6" fontId="3" fillId="2" borderId="0" xfId="0" applyNumberFormat="1" applyFont="1" applyFill="1" applyBorder="1" applyAlignment="1">
      <alignment horizontal="left" vertical="center"/>
    </xf>
    <xf numFmtId="0" fontId="3" fillId="2" borderId="0" xfId="0" applyFont="1" applyFill="1" applyBorder="1" applyAlignment="1">
      <alignment horizontal="left" vertical="center" wrapText="1"/>
    </xf>
    <xf numFmtId="6" fontId="3" fillId="2" borderId="0" xfId="0" applyNumberFormat="1" applyFont="1" applyFill="1" applyBorder="1" applyAlignment="1">
      <alignment horizontal="center" vertical="center"/>
    </xf>
    <xf numFmtId="0" fontId="2" fillId="0" borderId="0" xfId="0" applyFont="1" applyFill="1" applyAlignment="1">
      <alignment horizontal="left" vertical="center"/>
    </xf>
    <xf numFmtId="0" fontId="6" fillId="0" borderId="0" xfId="0" applyFont="1" applyFill="1" applyBorder="1" applyAlignment="1">
      <alignment horizontal="left" vertical="center" wrapText="1"/>
    </xf>
    <xf numFmtId="6" fontId="2" fillId="3" borderId="1" xfId="0" applyNumberFormat="1" applyFont="1" applyFill="1" applyBorder="1" applyAlignment="1">
      <alignment horizontal="right" vertical="center"/>
    </xf>
    <xf numFmtId="0" fontId="5" fillId="0" borderId="7" xfId="0" applyFont="1" applyFill="1" applyBorder="1"/>
    <xf numFmtId="0" fontId="5" fillId="0" borderId="8" xfId="0" applyFont="1" applyFill="1" applyBorder="1"/>
    <xf numFmtId="0" fontId="5" fillId="0" borderId="9" xfId="0" applyFont="1" applyFill="1" applyBorder="1"/>
    <xf numFmtId="164" fontId="5" fillId="0" borderId="8" xfId="0" applyNumberFormat="1" applyFont="1" applyFill="1" applyBorder="1"/>
    <xf numFmtId="164" fontId="5" fillId="0" borderId="9" xfId="0" applyNumberFormat="1" applyFont="1" applyFill="1" applyBorder="1" applyAlignment="1">
      <alignment horizontal="right" vertical="center"/>
    </xf>
    <xf numFmtId="164" fontId="5" fillId="0" borderId="9" xfId="0" applyNumberFormat="1" applyFont="1" applyFill="1" applyBorder="1"/>
    <xf numFmtId="0" fontId="5" fillId="0" borderId="7" xfId="0" applyFont="1" applyFill="1" applyBorder="1" applyAlignment="1">
      <alignment shrinkToFit="1"/>
    </xf>
    <xf numFmtId="0" fontId="0" fillId="5" borderId="0" xfId="0" applyFill="1"/>
    <xf numFmtId="0" fontId="0" fillId="5" borderId="10" xfId="0" applyFill="1" applyBorder="1"/>
    <xf numFmtId="0" fontId="0" fillId="5" borderId="11" xfId="0" applyFill="1" applyBorder="1"/>
    <xf numFmtId="0" fontId="0" fillId="5" borderId="12" xfId="0" applyFill="1" applyBorder="1"/>
    <xf numFmtId="0" fontId="0" fillId="5" borderId="13" xfId="0" applyFill="1" applyBorder="1"/>
    <xf numFmtId="0" fontId="0" fillId="5" borderId="14" xfId="0" applyFill="1" applyBorder="1"/>
    <xf numFmtId="0" fontId="0" fillId="5" borderId="15" xfId="0" applyFill="1" applyBorder="1"/>
    <xf numFmtId="0" fontId="7" fillId="5" borderId="11" xfId="0" applyFont="1" applyFill="1" applyBorder="1"/>
    <xf numFmtId="0" fontId="2" fillId="0" borderId="0" xfId="0" applyFont="1" applyBorder="1" applyAlignment="1">
      <alignment horizontal="left" vertical="center" wrapText="1"/>
    </xf>
    <xf numFmtId="6" fontId="3" fillId="4" borderId="1" xfId="0" applyNumberFormat="1" applyFont="1" applyFill="1" applyBorder="1" applyAlignment="1">
      <alignment horizontal="right" vertical="center"/>
    </xf>
    <xf numFmtId="0" fontId="5" fillId="0" borderId="0" xfId="0" applyFont="1" applyFill="1" applyAlignment="1">
      <alignment horizontal="left" vertical="center"/>
    </xf>
    <xf numFmtId="0" fontId="7" fillId="0" borderId="0" xfId="0" applyFont="1"/>
    <xf numFmtId="0" fontId="4" fillId="0" borderId="0" xfId="0" applyFont="1" applyBorder="1" applyAlignment="1">
      <alignment vertical="center"/>
    </xf>
    <xf numFmtId="0" fontId="7" fillId="5" borderId="10" xfId="0" applyFont="1" applyFill="1" applyBorder="1" applyAlignment="1">
      <alignment horizontal="left"/>
    </xf>
    <xf numFmtId="0" fontId="10" fillId="0" borderId="7" xfId="0" applyFont="1" applyFill="1" applyBorder="1"/>
    <xf numFmtId="164" fontId="11" fillId="0" borderId="8" xfId="0" applyNumberFormat="1" applyFont="1" applyFill="1" applyBorder="1"/>
    <xf numFmtId="164" fontId="10" fillId="0" borderId="8" xfId="0" applyNumberFormat="1" applyFont="1" applyFill="1" applyBorder="1"/>
    <xf numFmtId="164" fontId="10" fillId="0" borderId="9" xfId="0" applyNumberFormat="1" applyFont="1" applyFill="1" applyBorder="1"/>
    <xf numFmtId="0" fontId="0" fillId="5" borderId="0" xfId="0" applyFill="1" applyBorder="1" applyAlignment="1">
      <alignment horizontal="center"/>
    </xf>
    <xf numFmtId="0" fontId="0" fillId="5" borderId="0" xfId="0" applyFill="1" applyBorder="1"/>
    <xf numFmtId="0" fontId="7" fillId="5" borderId="0" xfId="0" applyFont="1" applyFill="1" applyBorder="1"/>
    <xf numFmtId="0" fontId="0" fillId="0" borderId="0"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7" fillId="0" borderId="10" xfId="0" applyFont="1" applyFill="1" applyBorder="1" applyAlignment="1">
      <alignment horizontal="left"/>
    </xf>
    <xf numFmtId="0" fontId="7" fillId="0" borderId="11" xfId="0" applyFont="1" applyFill="1" applyBorder="1"/>
    <xf numFmtId="0" fontId="0" fillId="0" borderId="21" xfId="0" applyFill="1" applyBorder="1"/>
    <xf numFmtId="0" fontId="3" fillId="0" borderId="21" xfId="0" applyFont="1" applyFill="1" applyBorder="1" applyAlignment="1">
      <alignment horizontal="left" vertical="center" wrapText="1"/>
    </xf>
    <xf numFmtId="6" fontId="3" fillId="0" borderId="0" xfId="0" applyNumberFormat="1" applyFont="1" applyFill="1" applyBorder="1" applyAlignment="1">
      <alignment horizontal="center" vertical="center"/>
    </xf>
    <xf numFmtId="0" fontId="0" fillId="0" borderId="18" xfId="0" applyFill="1" applyBorder="1"/>
    <xf numFmtId="0" fontId="0" fillId="0" borderId="17" xfId="0" applyFill="1" applyBorder="1"/>
    <xf numFmtId="0" fontId="0" fillId="0" borderId="22" xfId="0" applyFill="1" applyBorder="1"/>
    <xf numFmtId="0" fontId="0" fillId="0" borderId="23" xfId="0" applyFill="1" applyBorder="1"/>
    <xf numFmtId="0" fontId="0" fillId="0" borderId="0" xfId="0" applyBorder="1"/>
    <xf numFmtId="0" fontId="0" fillId="0" borderId="22" xfId="0" applyBorder="1"/>
    <xf numFmtId="0" fontId="7" fillId="0" borderId="0" xfId="0" applyFont="1" applyFill="1" applyBorder="1" applyAlignment="1">
      <alignment horizontal="left"/>
    </xf>
    <xf numFmtId="0" fontId="7" fillId="0" borderId="0" xfId="0" applyFont="1" applyFill="1" applyBorder="1"/>
    <xf numFmtId="0" fontId="0" fillId="0" borderId="21" xfId="0" applyBorder="1"/>
    <xf numFmtId="0" fontId="0" fillId="0" borderId="17" xfId="0" applyBorder="1"/>
    <xf numFmtId="0" fontId="0" fillId="0" borderId="18" xfId="0" applyBorder="1"/>
    <xf numFmtId="0" fontId="0" fillId="0" borderId="23" xfId="0" applyBorder="1"/>
    <xf numFmtId="6" fontId="3" fillId="4" borderId="1" xfId="0" applyNumberFormat="1" applyFont="1" applyFill="1" applyBorder="1" applyAlignment="1">
      <alignment horizontal="right" vertical="center"/>
    </xf>
    <xf numFmtId="0" fontId="5" fillId="0" borderId="0" xfId="0" applyFont="1" applyFill="1" applyAlignment="1">
      <alignment horizontal="left" vertical="center"/>
    </xf>
    <xf numFmtId="0" fontId="2" fillId="0" borderId="0" xfId="0" applyFont="1" applyBorder="1" applyAlignment="1">
      <alignment horizontal="left" vertical="center" wrapText="1"/>
    </xf>
    <xf numFmtId="0" fontId="12" fillId="0" borderId="0" xfId="0" applyFont="1" applyBorder="1" applyAlignment="1">
      <alignment vertical="center"/>
    </xf>
    <xf numFmtId="165" fontId="0" fillId="5" borderId="18" xfId="31" applyNumberFormat="1" applyFont="1" applyFill="1" applyBorder="1" applyAlignment="1">
      <alignment horizontal="center"/>
    </xf>
    <xf numFmtId="165" fontId="0" fillId="5" borderId="23" xfId="31" applyNumberFormat="1" applyFont="1" applyFill="1" applyBorder="1" applyAlignment="1">
      <alignment horizontal="center"/>
    </xf>
    <xf numFmtId="165" fontId="0" fillId="5" borderId="20" xfId="0" applyNumberFormat="1" applyFill="1" applyBorder="1" applyAlignment="1">
      <alignment horizontal="center"/>
    </xf>
    <xf numFmtId="0" fontId="0" fillId="5" borderId="18" xfId="0" applyFill="1" applyBorder="1"/>
    <xf numFmtId="165" fontId="0" fillId="5" borderId="18" xfId="31" applyNumberFormat="1" applyFont="1" applyFill="1" applyBorder="1"/>
    <xf numFmtId="0" fontId="0" fillId="5" borderId="23" xfId="0" applyFill="1" applyBorder="1"/>
    <xf numFmtId="0" fontId="0" fillId="5" borderId="0" xfId="0" applyFill="1" applyBorder="1" applyAlignment="1">
      <alignment horizontal="left" vertical="center" wrapText="1"/>
    </xf>
    <xf numFmtId="164" fontId="6" fillId="0" borderId="8" xfId="0" applyNumberFormat="1" applyFont="1" applyFill="1" applyBorder="1"/>
    <xf numFmtId="0" fontId="15" fillId="5" borderId="0" xfId="0" applyFont="1" applyFill="1" applyBorder="1" applyAlignment="1">
      <alignment vertical="center"/>
    </xf>
    <xf numFmtId="0" fontId="0" fillId="5" borderId="0" xfId="0" applyFill="1" applyBorder="1" applyAlignment="1">
      <alignment horizontal="center"/>
    </xf>
    <xf numFmtId="0" fontId="0" fillId="5" borderId="21" xfId="0" applyFill="1" applyBorder="1" applyAlignment="1">
      <alignment horizontal="left"/>
    </xf>
    <xf numFmtId="0" fontId="0" fillId="5" borderId="0" xfId="0" applyFill="1" applyBorder="1" applyAlignment="1">
      <alignment horizontal="left"/>
    </xf>
    <xf numFmtId="0" fontId="0" fillId="5" borderId="0" xfId="0" applyFill="1" applyBorder="1" applyAlignment="1">
      <alignment horizontal="left" vertical="center" wrapText="1"/>
    </xf>
    <xf numFmtId="0" fontId="7" fillId="6" borderId="0" xfId="0" applyFont="1" applyFill="1" applyBorder="1" applyAlignment="1">
      <alignment horizontal="left" vertical="center"/>
    </xf>
    <xf numFmtId="0" fontId="0" fillId="6" borderId="0" xfId="0" applyFill="1" applyBorder="1" applyAlignment="1">
      <alignment horizontal="left" vertical="center"/>
    </xf>
    <xf numFmtId="0" fontId="0" fillId="5" borderId="0" xfId="0" applyFill="1" applyBorder="1" applyAlignment="1">
      <alignment horizontal="left" vertical="center"/>
    </xf>
    <xf numFmtId="0" fontId="0" fillId="7" borderId="0" xfId="0" applyFill="1" applyBorder="1" applyAlignment="1">
      <alignment horizontal="left" vertical="center" wrapText="1"/>
    </xf>
    <xf numFmtId="0" fontId="0" fillId="6" borderId="0" xfId="0" applyFill="1" applyBorder="1" applyAlignment="1">
      <alignment horizontal="left" vertical="center" wrapText="1"/>
    </xf>
    <xf numFmtId="0" fontId="0" fillId="5" borderId="16" xfId="0" applyFill="1" applyBorder="1" applyAlignment="1">
      <alignment horizontal="left"/>
    </xf>
    <xf numFmtId="0" fontId="0" fillId="5" borderId="19" xfId="0" applyFill="1" applyBorder="1" applyAlignment="1">
      <alignment horizontal="left"/>
    </xf>
    <xf numFmtId="0" fontId="0" fillId="5" borderId="17" xfId="0" applyFill="1" applyBorder="1" applyAlignment="1">
      <alignment horizontal="left"/>
    </xf>
    <xf numFmtId="0" fontId="0" fillId="5" borderId="22" xfId="0" applyFill="1" applyBorder="1" applyAlignment="1">
      <alignment horizontal="left"/>
    </xf>
    <xf numFmtId="0" fontId="7" fillId="6" borderId="16" xfId="0" applyFont="1" applyFill="1" applyBorder="1" applyAlignment="1">
      <alignment horizontal="center"/>
    </xf>
    <xf numFmtId="0" fontId="7" fillId="6" borderId="19" xfId="0" applyFont="1" applyFill="1" applyBorder="1" applyAlignment="1">
      <alignment horizontal="center"/>
    </xf>
    <xf numFmtId="0" fontId="7" fillId="6" borderId="20" xfId="0" applyFont="1" applyFill="1" applyBorder="1" applyAlignment="1">
      <alignment horizontal="center"/>
    </xf>
    <xf numFmtId="0" fontId="15" fillId="5" borderId="0" xfId="0" applyFont="1" applyFill="1" applyBorder="1" applyAlignment="1">
      <alignment horizontal="left" vertical="center"/>
    </xf>
    <xf numFmtId="0" fontId="16" fillId="5" borderId="0" xfId="0" applyFont="1" applyFill="1" applyBorder="1" applyAlignment="1">
      <alignment horizontal="left" vertical="top"/>
    </xf>
    <xf numFmtId="0" fontId="8" fillId="5" borderId="0" xfId="32" applyFill="1" applyBorder="1" applyAlignment="1">
      <alignment horizontal="left" vertical="center"/>
    </xf>
    <xf numFmtId="0" fontId="2" fillId="0" borderId="0" xfId="0" applyFont="1" applyBorder="1" applyAlignment="1">
      <alignment horizontal="left" vertical="center" wrapText="1"/>
    </xf>
    <xf numFmtId="0" fontId="0" fillId="0" borderId="0" xfId="0" applyFill="1" applyBorder="1" applyAlignment="1">
      <alignment horizontal="center"/>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0" fontId="3" fillId="3" borderId="1" xfId="0" applyFont="1" applyFill="1" applyBorder="1" applyAlignment="1">
      <alignment horizontal="left" vertical="center" shrinkToFit="1"/>
    </xf>
    <xf numFmtId="6" fontId="3" fillId="4" borderId="2" xfId="0" applyNumberFormat="1" applyFont="1" applyFill="1" applyBorder="1" applyAlignment="1">
      <alignment horizontal="right" vertical="center"/>
    </xf>
    <xf numFmtId="6" fontId="3" fillId="4" borderId="4" xfId="0" applyNumberFormat="1" applyFont="1" applyFill="1" applyBorder="1" applyAlignment="1">
      <alignment horizontal="right" vertical="center"/>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24" xfId="0" applyFont="1" applyFill="1" applyBorder="1" applyAlignment="1">
      <alignment horizontal="left" vertical="center" shrinkToFit="1"/>
    </xf>
    <xf numFmtId="0" fontId="3" fillId="3" borderId="25" xfId="0" applyFont="1" applyFill="1" applyBorder="1" applyAlignment="1">
      <alignment horizontal="left" vertical="center" shrinkToFit="1"/>
    </xf>
    <xf numFmtId="0" fontId="3" fillId="3" borderId="26" xfId="0" applyFont="1" applyFill="1" applyBorder="1" applyAlignment="1">
      <alignment horizontal="left" vertical="center" shrinkToFit="1"/>
    </xf>
    <xf numFmtId="0" fontId="3" fillId="3" borderId="27" xfId="0" applyFont="1" applyFill="1" applyBorder="1" applyAlignment="1">
      <alignment horizontal="left" vertical="center" shrinkToFit="1"/>
    </xf>
    <xf numFmtId="0" fontId="3" fillId="3" borderId="28" xfId="0" applyFont="1" applyFill="1" applyBorder="1" applyAlignment="1">
      <alignment horizontal="left" vertical="center" shrinkToFit="1"/>
    </xf>
    <xf numFmtId="0" fontId="3" fillId="3" borderId="29" xfId="0" applyFont="1" applyFill="1" applyBorder="1" applyAlignment="1">
      <alignment horizontal="left" vertical="center" shrinkToFit="1"/>
    </xf>
    <xf numFmtId="0" fontId="5" fillId="0" borderId="0" xfId="0" applyFont="1" applyFill="1" applyAlignment="1">
      <alignment horizontal="left" vertical="center"/>
    </xf>
    <xf numFmtId="0" fontId="3" fillId="3" borderId="2" xfId="0" applyFont="1" applyFill="1" applyBorder="1" applyAlignment="1">
      <alignment horizontal="left" vertical="center" shrinkToFit="1"/>
    </xf>
    <xf numFmtId="0" fontId="3" fillId="3" borderId="3" xfId="0" applyFont="1" applyFill="1" applyBorder="1" applyAlignment="1">
      <alignment horizontal="left" vertical="center" shrinkToFit="1"/>
    </xf>
    <xf numFmtId="0" fontId="3" fillId="3" borderId="4" xfId="0" applyFont="1" applyFill="1" applyBorder="1" applyAlignment="1">
      <alignment horizontal="left" vertical="center" shrinkToFit="1"/>
    </xf>
    <xf numFmtId="6" fontId="3" fillId="4" borderId="1" xfId="0" applyNumberFormat="1" applyFont="1" applyFill="1" applyBorder="1" applyAlignment="1">
      <alignment horizontal="right" vertical="center"/>
    </xf>
    <xf numFmtId="0" fontId="14" fillId="6" borderId="24" xfId="0" applyFont="1" applyFill="1" applyBorder="1" applyAlignment="1">
      <alignment horizontal="center" vertical="center" shrinkToFit="1"/>
    </xf>
    <xf numFmtId="0" fontId="14" fillId="6" borderId="25" xfId="0" applyFont="1" applyFill="1" applyBorder="1" applyAlignment="1">
      <alignment horizontal="center" vertical="center" shrinkToFit="1"/>
    </xf>
    <xf numFmtId="0" fontId="14" fillId="6" borderId="30" xfId="0" applyFont="1" applyFill="1" applyBorder="1" applyAlignment="1">
      <alignment horizontal="center" vertical="center" shrinkToFit="1"/>
    </xf>
    <xf numFmtId="0" fontId="14" fillId="6" borderId="0" xfId="0" applyFont="1" applyFill="1" applyBorder="1" applyAlignment="1">
      <alignment horizontal="center" vertical="center" shrinkToFit="1"/>
    </xf>
    <xf numFmtId="0" fontId="14" fillId="6" borderId="27" xfId="0" applyFont="1" applyFill="1" applyBorder="1" applyAlignment="1">
      <alignment horizontal="center" vertical="center" shrinkToFit="1"/>
    </xf>
    <xf numFmtId="0" fontId="14" fillId="6" borderId="28" xfId="0" applyFont="1" applyFill="1" applyBorder="1" applyAlignment="1">
      <alignment horizontal="center" vertical="center" shrinkToFit="1"/>
    </xf>
    <xf numFmtId="6" fontId="14" fillId="4" borderId="24" xfId="0" applyNumberFormat="1" applyFont="1" applyFill="1" applyBorder="1" applyAlignment="1">
      <alignment vertical="center"/>
    </xf>
    <xf numFmtId="6" fontId="14" fillId="4" borderId="25" xfId="0" applyNumberFormat="1" applyFont="1" applyFill="1" applyBorder="1" applyAlignment="1">
      <alignment vertical="center"/>
    </xf>
    <xf numFmtId="6" fontId="14" fillId="4" borderId="26" xfId="0" applyNumberFormat="1" applyFont="1" applyFill="1" applyBorder="1" applyAlignment="1">
      <alignment vertical="center"/>
    </xf>
    <xf numFmtId="6" fontId="14" fillId="4" borderId="30" xfId="0" applyNumberFormat="1" applyFont="1" applyFill="1" applyBorder="1" applyAlignment="1">
      <alignment vertical="center"/>
    </xf>
    <xf numFmtId="6" fontId="14" fillId="4" borderId="0" xfId="0" applyNumberFormat="1" applyFont="1" applyFill="1" applyBorder="1" applyAlignment="1">
      <alignment vertical="center"/>
    </xf>
    <xf numFmtId="6" fontId="14" fillId="4" borderId="31" xfId="0" applyNumberFormat="1" applyFont="1" applyFill="1" applyBorder="1" applyAlignment="1">
      <alignment vertical="center"/>
    </xf>
    <xf numFmtId="6" fontId="14" fillId="4" borderId="27" xfId="0" applyNumberFormat="1" applyFont="1" applyFill="1" applyBorder="1" applyAlignment="1">
      <alignment vertical="center"/>
    </xf>
    <xf numFmtId="6" fontId="14" fillId="4" borderId="28" xfId="0" applyNumberFormat="1" applyFont="1" applyFill="1" applyBorder="1" applyAlignment="1">
      <alignment vertical="center"/>
    </xf>
    <xf numFmtId="6" fontId="14" fillId="4" borderId="29" xfId="0" applyNumberFormat="1" applyFont="1" applyFill="1" applyBorder="1" applyAlignment="1">
      <alignment vertical="center"/>
    </xf>
    <xf numFmtId="165" fontId="14" fillId="8" borderId="25" xfId="31" applyNumberFormat="1" applyFont="1" applyFill="1" applyBorder="1" applyAlignment="1">
      <alignment vertical="center" shrinkToFit="1"/>
    </xf>
    <xf numFmtId="165" fontId="14" fillId="8" borderId="26" xfId="31" applyNumberFormat="1" applyFont="1" applyFill="1" applyBorder="1" applyAlignment="1">
      <alignment vertical="center" shrinkToFit="1"/>
    </xf>
    <xf numFmtId="165" fontId="14" fillId="8" borderId="0" xfId="31" applyNumberFormat="1" applyFont="1" applyFill="1" applyBorder="1" applyAlignment="1">
      <alignment vertical="center" shrinkToFit="1"/>
    </xf>
    <xf numFmtId="165" fontId="14" fillId="8" borderId="31" xfId="31" applyNumberFormat="1" applyFont="1" applyFill="1" applyBorder="1" applyAlignment="1">
      <alignment vertical="center" shrinkToFit="1"/>
    </xf>
    <xf numFmtId="165" fontId="14" fillId="8" borderId="28" xfId="31" applyNumberFormat="1" applyFont="1" applyFill="1" applyBorder="1" applyAlignment="1">
      <alignment vertical="center" shrinkToFit="1"/>
    </xf>
    <xf numFmtId="165" fontId="14" fillId="8" borderId="29" xfId="31" applyNumberFormat="1" applyFont="1" applyFill="1" applyBorder="1" applyAlignment="1">
      <alignment vertical="center" shrinkToFit="1"/>
    </xf>
    <xf numFmtId="0" fontId="3" fillId="6" borderId="16"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0" fillId="0" borderId="16" xfId="0" applyFill="1" applyBorder="1" applyAlignment="1">
      <alignment horizontal="center"/>
    </xf>
    <xf numFmtId="0" fontId="0" fillId="0" borderId="20" xfId="0" applyFill="1" applyBorder="1" applyAlignment="1">
      <alignment horizontal="center"/>
    </xf>
    <xf numFmtId="0" fontId="0" fillId="6" borderId="16" xfId="0" applyFill="1" applyBorder="1" applyAlignment="1">
      <alignment horizontal="center"/>
    </xf>
    <xf numFmtId="0" fontId="0" fillId="6" borderId="20" xfId="0" applyFill="1" applyBorder="1" applyAlignment="1">
      <alignment horizontal="center"/>
    </xf>
    <xf numFmtId="0" fontId="7" fillId="0" borderId="16" xfId="0" applyFont="1" applyFill="1" applyBorder="1" applyAlignment="1">
      <alignment horizontal="center"/>
    </xf>
    <xf numFmtId="0" fontId="7" fillId="0" borderId="20" xfId="0" applyFont="1" applyFill="1" applyBorder="1" applyAlignment="1">
      <alignment horizontal="center"/>
    </xf>
    <xf numFmtId="0" fontId="0" fillId="0" borderId="17" xfId="0" applyFill="1" applyBorder="1" applyAlignment="1">
      <alignment horizontal="center"/>
    </xf>
    <xf numFmtId="0" fontId="0" fillId="0" borderId="23" xfId="0" applyFill="1" applyBorder="1" applyAlignment="1">
      <alignment horizontal="center"/>
    </xf>
    <xf numFmtId="0" fontId="7" fillId="0" borderId="17" xfId="0" applyFont="1" applyFill="1" applyBorder="1" applyAlignment="1">
      <alignment horizontal="center"/>
    </xf>
    <xf numFmtId="0" fontId="7" fillId="0" borderId="23" xfId="0" applyFont="1" applyFill="1" applyBorder="1" applyAlignment="1">
      <alignment horizontal="center"/>
    </xf>
  </cellXfs>
  <cellStyles count="33">
    <cellStyle name="Currency" xfId="31"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2" builtinId="8"/>
    <cellStyle name="Normal" xfId="0" builtinId="0" customBuiltin="1"/>
  </cellStyles>
  <dxfs count="756">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border diagonalUp="0" diagonalDown="0">
        <left style="thin">
          <color rgb="FF95B3D7"/>
        </left>
        <right style="thin">
          <color rgb="FF95B3D7"/>
        </right>
        <top/>
        <bottom/>
      </border>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color indexed="63"/>
        <name val="Calibri"/>
        <scheme val="minor"/>
      </font>
      <numFmt numFmtId="167" formatCode="\$#,##0.0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name val="Calibri"/>
        <scheme val="minor"/>
      </font>
      <numFmt numFmtId="164" formatCode="&quot;$&quot;#,##0"/>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name val="Calibri"/>
        <scheme val="minor"/>
      </font>
      <alignment horizontal="general" vertical="bottom" textRotation="0" wrapText="0" indent="0" justifyLastLine="0" shrinkToFit="1" readingOrder="0"/>
      <border diagonalUp="0" diagonalDown="0">
        <left/>
        <right style="thin">
          <color theme="4" tint="0.39994506668294322"/>
        </right>
        <top/>
        <bottom/>
      </border>
    </dxf>
    <dxf>
      <font>
        <u val="none"/>
        <vertAlign val="baseline"/>
        <name val="Calibri"/>
        <scheme val="none"/>
      </font>
    </dxf>
    <dxf>
      <border diagonalUp="0" diagonalDown="0">
        <left/>
        <right/>
        <top style="thin">
          <color rgb="FF95B3D7"/>
        </top>
        <bottom style="thin">
          <color rgb="FF95B3D7"/>
        </bottom>
      </border>
    </dxf>
    <dxf>
      <font>
        <u val="none"/>
        <vertAlign val="baseline"/>
        <name val="Calibri"/>
        <scheme val="none"/>
      </font>
    </dxf>
    <dxf>
      <font>
        <u val="none"/>
        <vertAlign val="baseline"/>
        <name val="Calibri"/>
        <scheme val="minor"/>
      </font>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border diagonalUp="0" diagonalDown="0">
        <left style="thin">
          <color rgb="FF95B3D7"/>
        </left>
        <right style="thin">
          <color rgb="FF95B3D7"/>
        </right>
        <top/>
        <bottom/>
      </border>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border diagonalUp="0" diagonalDown="0">
        <left style="thin">
          <color rgb="FF95B3D7"/>
        </left>
        <right style="thin">
          <color rgb="FF95B3D7"/>
        </right>
        <top/>
        <bottom/>
      </border>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color indexed="63"/>
        <name val="Calibri"/>
        <scheme val="minor"/>
      </font>
      <numFmt numFmtId="167" formatCode="\$#,##0.0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name val="Calibri"/>
        <scheme val="minor"/>
      </font>
      <numFmt numFmtId="164" formatCode="&quot;$&quot;#,##0"/>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name val="Calibri"/>
        <scheme val="minor"/>
      </font>
      <alignment horizontal="general" vertical="bottom" textRotation="0" wrapText="0" indent="0" justifyLastLine="0" shrinkToFit="1" readingOrder="0"/>
      <border diagonalUp="0" diagonalDown="0">
        <left/>
        <right style="thin">
          <color theme="4" tint="0.39994506668294322"/>
        </right>
        <top/>
        <bottom/>
      </border>
    </dxf>
    <dxf>
      <font>
        <u val="none"/>
        <vertAlign val="baseline"/>
        <name val="Calibri"/>
        <scheme val="none"/>
      </font>
    </dxf>
    <dxf>
      <border diagonalUp="0" diagonalDown="0">
        <left/>
        <right/>
        <top style="thin">
          <color rgb="FF95B3D7"/>
        </top>
        <bottom style="thin">
          <color rgb="FF95B3D7"/>
        </bottom>
      </border>
    </dxf>
    <dxf>
      <font>
        <u val="none"/>
        <vertAlign val="baseline"/>
        <name val="Calibri"/>
        <scheme val="none"/>
      </font>
    </dxf>
    <dxf>
      <font>
        <u val="none"/>
        <vertAlign val="baseline"/>
        <name val="Calibri"/>
        <scheme val="minor"/>
      </font>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border diagonalUp="0" diagonalDown="0">
        <left style="thin">
          <color rgb="FF95B3D7"/>
        </left>
        <right style="thin">
          <color rgb="FF95B3D7"/>
        </right>
        <top/>
        <bottom/>
      </border>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border diagonalUp="0" diagonalDown="0">
        <left style="thin">
          <color rgb="FF95B3D7"/>
        </left>
        <right style="thin">
          <color rgb="FF95B3D7"/>
        </right>
        <top/>
        <bottom/>
      </border>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color indexed="63"/>
        <name val="Calibri"/>
        <scheme val="minor"/>
      </font>
      <numFmt numFmtId="167" formatCode="\$#,##0.0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name val="Calibri"/>
        <scheme val="minor"/>
      </font>
      <numFmt numFmtId="164" formatCode="&quot;$&quot;#,##0"/>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name val="Calibri"/>
        <scheme val="minor"/>
      </font>
      <alignment horizontal="general" vertical="bottom" textRotation="0" wrapText="0" indent="0" justifyLastLine="0" shrinkToFit="1" readingOrder="0"/>
      <border diagonalUp="0" diagonalDown="0">
        <left/>
        <right style="thin">
          <color theme="4" tint="0.39994506668294322"/>
        </right>
        <top/>
        <bottom/>
      </border>
    </dxf>
    <dxf>
      <font>
        <u val="none"/>
        <vertAlign val="baseline"/>
        <name val="Calibri"/>
        <scheme val="none"/>
      </font>
    </dxf>
    <dxf>
      <border diagonalUp="0" diagonalDown="0">
        <left/>
        <right/>
        <top style="thin">
          <color rgb="FF95B3D7"/>
        </top>
        <bottom style="thin">
          <color rgb="FF95B3D7"/>
        </bottom>
      </border>
    </dxf>
    <dxf>
      <font>
        <u val="none"/>
        <vertAlign val="baseline"/>
        <name val="Calibri"/>
        <scheme val="none"/>
      </font>
    </dxf>
    <dxf>
      <font>
        <u val="none"/>
        <vertAlign val="baseline"/>
        <name val="Calibri"/>
        <scheme val="minor"/>
      </font>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border diagonalUp="0" diagonalDown="0">
        <left style="thin">
          <color rgb="FF95B3D7"/>
        </left>
        <right style="thin">
          <color rgb="FF95B3D7"/>
        </right>
        <top/>
        <bottom/>
      </border>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border diagonalUp="0" diagonalDown="0">
        <left style="thin">
          <color rgb="FF95B3D7"/>
        </left>
        <right style="thin">
          <color rgb="FF95B3D7"/>
        </right>
        <top/>
        <bottom/>
      </border>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color indexed="63"/>
        <name val="Calibri"/>
        <scheme val="minor"/>
      </font>
      <numFmt numFmtId="167" formatCode="\$#,##0.0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name val="Calibri"/>
        <scheme val="minor"/>
      </font>
      <numFmt numFmtId="164" formatCode="&quot;$&quot;#,##0"/>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name val="Calibri"/>
        <scheme val="minor"/>
      </font>
      <alignment horizontal="general" vertical="bottom" textRotation="0" wrapText="0" indent="0" justifyLastLine="0" shrinkToFit="1" readingOrder="0"/>
      <border diagonalUp="0" diagonalDown="0">
        <left/>
        <right style="thin">
          <color theme="4" tint="0.39994506668294322"/>
        </right>
        <top/>
        <bottom/>
      </border>
    </dxf>
    <dxf>
      <font>
        <u val="none"/>
        <vertAlign val="baseline"/>
        <name val="Calibri"/>
        <scheme val="none"/>
      </font>
    </dxf>
    <dxf>
      <border diagonalUp="0" diagonalDown="0">
        <left/>
        <right/>
        <top style="thin">
          <color rgb="FF95B3D7"/>
        </top>
        <bottom style="thin">
          <color rgb="FF95B3D7"/>
        </bottom>
      </border>
    </dxf>
    <dxf>
      <font>
        <u val="none"/>
        <vertAlign val="baseline"/>
        <name val="Calibri"/>
        <scheme val="none"/>
      </font>
    </dxf>
    <dxf>
      <font>
        <u val="none"/>
        <vertAlign val="baseline"/>
        <name val="Calibri"/>
        <scheme val="minor"/>
      </font>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border diagonalUp="0" diagonalDown="0">
        <left style="thin">
          <color rgb="FF95B3D7"/>
        </left>
        <right style="thin">
          <color rgb="FF95B3D7"/>
        </right>
        <top/>
        <bottom/>
      </border>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border diagonalUp="0" diagonalDown="0">
        <left style="thin">
          <color rgb="FF95B3D7"/>
        </left>
        <right style="thin">
          <color rgb="FF95B3D7"/>
        </right>
        <top/>
        <bottom/>
      </border>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color indexed="63"/>
        <name val="Calibri"/>
        <scheme val="minor"/>
      </font>
      <numFmt numFmtId="167" formatCode="\$#,##0.0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name val="Calibri"/>
        <scheme val="minor"/>
      </font>
      <numFmt numFmtId="164" formatCode="&quot;$&quot;#,##0"/>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name val="Calibri"/>
        <scheme val="minor"/>
      </font>
      <alignment horizontal="general" vertical="bottom" textRotation="0" wrapText="0" indent="0" justifyLastLine="0" shrinkToFit="1" readingOrder="0"/>
      <border diagonalUp="0" diagonalDown="0">
        <left/>
        <right style="thin">
          <color theme="4" tint="0.39994506668294322"/>
        </right>
        <top/>
        <bottom/>
      </border>
    </dxf>
    <dxf>
      <font>
        <u val="none"/>
        <vertAlign val="baseline"/>
        <name val="Calibri"/>
        <scheme val="none"/>
      </font>
    </dxf>
    <dxf>
      <border diagonalUp="0" diagonalDown="0">
        <left/>
        <right/>
        <top style="thin">
          <color rgb="FF95B3D7"/>
        </top>
        <bottom style="thin">
          <color rgb="FF95B3D7"/>
        </bottom>
      </border>
    </dxf>
    <dxf>
      <font>
        <u val="none"/>
        <vertAlign val="baseline"/>
        <name val="Calibri"/>
        <scheme val="none"/>
      </font>
    </dxf>
    <dxf>
      <font>
        <u val="none"/>
        <vertAlign val="baseline"/>
        <name val="Calibri"/>
        <scheme val="minor"/>
      </font>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border diagonalUp="0" diagonalDown="0">
        <left style="thin">
          <color rgb="FF95B3D7"/>
        </left>
        <right style="thin">
          <color rgb="FF95B3D7"/>
        </right>
        <top/>
        <bottom/>
      </border>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border diagonalUp="0" diagonalDown="0">
        <left style="thin">
          <color rgb="FF95B3D7"/>
        </left>
        <right style="thin">
          <color rgb="FF95B3D7"/>
        </right>
        <top/>
        <bottom/>
      </border>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color indexed="63"/>
        <name val="Calibri"/>
        <scheme val="minor"/>
      </font>
      <numFmt numFmtId="167" formatCode="\$#,##0.0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name val="Calibri"/>
        <scheme val="minor"/>
      </font>
      <numFmt numFmtId="164" formatCode="&quot;$&quot;#,##0"/>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name val="Calibri"/>
        <scheme val="minor"/>
      </font>
      <alignment horizontal="general" vertical="bottom" textRotation="0" wrapText="0" indent="0" justifyLastLine="0" shrinkToFit="1" readingOrder="0"/>
      <border diagonalUp="0" diagonalDown="0">
        <left/>
        <right style="thin">
          <color theme="4" tint="0.39994506668294322"/>
        </right>
        <top/>
        <bottom/>
      </border>
    </dxf>
    <dxf>
      <font>
        <u val="none"/>
        <vertAlign val="baseline"/>
        <name val="Calibri"/>
        <scheme val="none"/>
      </font>
    </dxf>
    <dxf>
      <border diagonalUp="0" diagonalDown="0">
        <left/>
        <right/>
        <top style="thin">
          <color rgb="FF95B3D7"/>
        </top>
        <bottom style="thin">
          <color rgb="FF95B3D7"/>
        </bottom>
      </border>
    </dxf>
    <dxf>
      <font>
        <u val="none"/>
        <vertAlign val="baseline"/>
        <name val="Calibri"/>
        <scheme val="none"/>
      </font>
    </dxf>
    <dxf>
      <font>
        <u val="none"/>
        <vertAlign val="baseline"/>
        <name val="Calibri"/>
        <scheme val="minor"/>
      </font>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border diagonalUp="0" diagonalDown="0">
        <left style="thin">
          <color rgb="FF95B3D7"/>
        </left>
        <right style="thin">
          <color rgb="FF95B3D7"/>
        </right>
        <top/>
        <bottom/>
      </border>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border diagonalUp="0" diagonalDown="0">
        <left style="thin">
          <color rgb="FF95B3D7"/>
        </left>
        <right style="thin">
          <color rgb="FF95B3D7"/>
        </right>
        <top/>
        <bottom/>
      </border>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color indexed="63"/>
        <name val="Calibri"/>
        <scheme val="minor"/>
      </font>
      <numFmt numFmtId="167" formatCode="\$#,##0.0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name val="Calibri"/>
        <scheme val="minor"/>
      </font>
      <numFmt numFmtId="164" formatCode="&quot;$&quot;#,##0"/>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name val="Calibri"/>
        <scheme val="minor"/>
      </font>
      <alignment horizontal="general" vertical="bottom" textRotation="0" wrapText="0" indent="0" justifyLastLine="0" shrinkToFit="1" readingOrder="0"/>
      <border diagonalUp="0" diagonalDown="0">
        <left/>
        <right style="thin">
          <color theme="4" tint="0.39994506668294322"/>
        </right>
        <top/>
        <bottom/>
      </border>
    </dxf>
    <dxf>
      <font>
        <u val="none"/>
        <vertAlign val="baseline"/>
        <name val="Calibri"/>
        <scheme val="none"/>
      </font>
    </dxf>
    <dxf>
      <border diagonalUp="0" diagonalDown="0">
        <left/>
        <right/>
        <top style="thin">
          <color rgb="FF95B3D7"/>
        </top>
        <bottom style="thin">
          <color rgb="FF95B3D7"/>
        </bottom>
      </border>
    </dxf>
    <dxf>
      <font>
        <u val="none"/>
        <vertAlign val="baseline"/>
        <name val="Calibri"/>
        <scheme val="none"/>
      </font>
    </dxf>
    <dxf>
      <font>
        <u val="none"/>
        <vertAlign val="baseline"/>
        <name val="Calibri"/>
        <scheme val="minor"/>
      </font>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border diagonalUp="0" diagonalDown="0">
        <left style="thin">
          <color rgb="FF95B3D7"/>
        </left>
        <right style="thin">
          <color rgb="FF95B3D7"/>
        </right>
        <top/>
        <bottom/>
      </border>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border diagonalUp="0" diagonalDown="0">
        <left style="thin">
          <color rgb="FF95B3D7"/>
        </left>
        <right style="thin">
          <color rgb="FF95B3D7"/>
        </right>
        <top/>
        <bottom/>
      </border>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color indexed="63"/>
        <name val="Calibri"/>
        <scheme val="minor"/>
      </font>
      <numFmt numFmtId="167" formatCode="\$#,##0.0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name val="Calibri"/>
        <scheme val="minor"/>
      </font>
      <numFmt numFmtId="164" formatCode="&quot;$&quot;#,##0"/>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name val="Calibri"/>
        <scheme val="minor"/>
      </font>
      <alignment horizontal="general" vertical="bottom" textRotation="0" wrapText="0" indent="0" justifyLastLine="0" shrinkToFit="1" readingOrder="0"/>
      <border diagonalUp="0" diagonalDown="0">
        <left/>
        <right style="thin">
          <color theme="4" tint="0.39994506668294322"/>
        </right>
        <top/>
        <bottom/>
      </border>
    </dxf>
    <dxf>
      <font>
        <u val="none"/>
        <vertAlign val="baseline"/>
        <name val="Calibri"/>
        <scheme val="none"/>
      </font>
    </dxf>
    <dxf>
      <border diagonalUp="0" diagonalDown="0">
        <left/>
        <right/>
        <top style="thin">
          <color rgb="FF95B3D7"/>
        </top>
        <bottom style="thin">
          <color rgb="FF95B3D7"/>
        </bottom>
      </border>
    </dxf>
    <dxf>
      <font>
        <u val="none"/>
        <vertAlign val="baseline"/>
        <name val="Calibri"/>
        <scheme val="none"/>
      </font>
    </dxf>
    <dxf>
      <font>
        <u val="none"/>
        <vertAlign val="baseline"/>
        <name val="Calibri"/>
        <scheme val="minor"/>
      </font>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border diagonalUp="0" diagonalDown="0">
        <left style="thin">
          <color rgb="FF95B3D7"/>
        </left>
        <right style="thin">
          <color rgb="FF95B3D7"/>
        </right>
        <top/>
        <bottom/>
      </border>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border diagonalUp="0" diagonalDown="0">
        <left style="thin">
          <color rgb="FF95B3D7"/>
        </left>
        <right style="thin">
          <color rgb="FF95B3D7"/>
        </right>
        <top/>
        <bottom/>
      </border>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color indexed="63"/>
        <name val="Calibri"/>
        <scheme val="minor"/>
      </font>
      <numFmt numFmtId="167" formatCode="\$#,##0.0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name val="Calibri"/>
        <scheme val="minor"/>
      </font>
      <numFmt numFmtId="164" formatCode="&quot;$&quot;#,##0"/>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name val="Calibri"/>
        <scheme val="minor"/>
      </font>
      <alignment horizontal="general" vertical="bottom" textRotation="0" wrapText="0" indent="0" justifyLastLine="0" shrinkToFit="1" readingOrder="0"/>
      <border diagonalUp="0" diagonalDown="0">
        <left/>
        <right style="thin">
          <color theme="4" tint="0.39994506668294322"/>
        </right>
        <top/>
        <bottom/>
      </border>
    </dxf>
    <dxf>
      <font>
        <u val="none"/>
        <vertAlign val="baseline"/>
        <name val="Calibri"/>
        <scheme val="none"/>
      </font>
    </dxf>
    <dxf>
      <border diagonalUp="0" diagonalDown="0">
        <left/>
        <right/>
        <top style="thin">
          <color rgb="FF95B3D7"/>
        </top>
        <bottom style="thin">
          <color rgb="FF95B3D7"/>
        </bottom>
      </border>
    </dxf>
    <dxf>
      <font>
        <u val="none"/>
        <vertAlign val="baseline"/>
        <name val="Calibri"/>
        <scheme val="none"/>
      </font>
    </dxf>
    <dxf>
      <font>
        <u val="none"/>
        <vertAlign val="baseline"/>
        <name val="Calibri"/>
        <scheme val="minor"/>
      </font>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border diagonalUp="0" diagonalDown="0">
        <left style="thin">
          <color rgb="FF95B3D7"/>
        </left>
        <right style="thin">
          <color rgb="FF95B3D7"/>
        </right>
        <top/>
        <bottom/>
      </border>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border diagonalUp="0" diagonalDown="0">
        <left style="thin">
          <color theme="4" tint="0.39994506668294322"/>
        </left>
        <right style="thin">
          <color theme="4" tint="0.39994506668294322"/>
        </right>
        <top/>
        <bottom/>
      </border>
    </dxf>
  </dxfs>
  <tableStyles count="0" defaultTableStyle="TableStyleMedium9" defaultPivotStyle="PivotStyleMedium4"/>
  <colors>
    <indexedColors>
      <rgbColor rgb="FF000000"/>
      <rgbColor rgb="FFFFFFFF"/>
      <rgbColor rgb="FFFF0000"/>
      <rgbColor rgb="FF00FF00"/>
      <rgbColor rgb="FF0000FF"/>
      <rgbColor rgb="FFFFFF00"/>
      <rgbColor rgb="FFFF00FF"/>
      <rgbColor rgb="FF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AE0C2"/>
      <color rgb="FF75C185"/>
      <color rgb="FF9AD2A6"/>
      <color rgb="FF4ECE73"/>
      <color rgb="FF35C15D"/>
      <color rgb="FF2DA3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https://scholartree.ca/" TargetMode="External"/></Relationships>
</file>

<file path=xl/drawings/_rels/drawing10.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https://scholartree.ca/"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https://scholartree.ca/"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https://scholartree.ca/"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https://scholartree.ca/"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https://scholartree.ca/" TargetMode="External"/></Relationships>
</file>

<file path=xl/drawings/_rels/drawing6.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https://scholartree.ca/" TargetMode="External"/></Relationships>
</file>

<file path=xl/drawings/_rels/drawing7.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https://scholartree.ca/"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https://scholartree.ca/"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https://scholartree.ca/"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375919</xdr:colOff>
      <xdr:row>1</xdr:row>
      <xdr:rowOff>180035</xdr:rowOff>
    </xdr:from>
    <xdr:to>
      <xdr:col>2</xdr:col>
      <xdr:colOff>426720</xdr:colOff>
      <xdr:row>3</xdr:row>
      <xdr:rowOff>132799</xdr:rowOff>
    </xdr:to>
    <xdr:pic>
      <xdr:nvPicPr>
        <xdr:cNvPr id="6" name="Graphic 2">
          <a:hlinkClick xmlns:r="http://schemas.openxmlformats.org/officeDocument/2006/relationships" r:id="rId1"/>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xmlns="" r:embed="rId3"/>
            </a:ext>
          </a:extLst>
        </a:blip>
        <a:stretch>
          <a:fillRect/>
        </a:stretch>
      </xdr:blipFill>
      <xdr:spPr>
        <a:xfrm>
          <a:off x="375919" y="515315"/>
          <a:ext cx="1168401" cy="31852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88900</xdr:colOff>
      <xdr:row>1</xdr:row>
      <xdr:rowOff>114300</xdr:rowOff>
    </xdr:from>
    <xdr:to>
      <xdr:col>1</xdr:col>
      <xdr:colOff>1943100</xdr:colOff>
      <xdr:row>1</xdr:row>
      <xdr:rowOff>584200</xdr:rowOff>
    </xdr:to>
    <xdr:pic>
      <xdr:nvPicPr>
        <xdr:cNvPr id="2" name="Graphic 2">
          <a:hlinkClick xmlns:r="http://schemas.openxmlformats.org/officeDocument/2006/relationships" r:id="rId1"/>
          <a:extLst>
            <a:ext uri="{FF2B5EF4-FFF2-40B4-BE49-F238E27FC236}">
              <a16:creationId xmlns:a16="http://schemas.microsoft.com/office/drawing/2014/main" xmlns="" id="{00000000-0008-0000-0900-000002000000}"/>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xmlns="" r:embed="rId3"/>
            </a:ext>
          </a:extLst>
        </a:blip>
        <a:stretch>
          <a:fillRect/>
        </a:stretch>
      </xdr:blipFill>
      <xdr:spPr>
        <a:xfrm>
          <a:off x="195580" y="213360"/>
          <a:ext cx="1854200" cy="469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88900</xdr:colOff>
      <xdr:row>1</xdr:row>
      <xdr:rowOff>114300</xdr:rowOff>
    </xdr:from>
    <xdr:to>
      <xdr:col>1</xdr:col>
      <xdr:colOff>1943100</xdr:colOff>
      <xdr:row>1</xdr:row>
      <xdr:rowOff>584200</xdr:rowOff>
    </xdr:to>
    <xdr:pic>
      <xdr:nvPicPr>
        <xdr:cNvPr id="2" name="Graphic 2">
          <a:hlinkClick xmlns:r="http://schemas.openxmlformats.org/officeDocument/2006/relationships" r:id="rId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xmlns="" r:embed="rId3"/>
            </a:ext>
          </a:extLst>
        </a:blip>
        <a:stretch>
          <a:fillRect/>
        </a:stretch>
      </xdr:blipFill>
      <xdr:spPr>
        <a:xfrm>
          <a:off x="195580" y="213360"/>
          <a:ext cx="1854200" cy="469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88900</xdr:colOff>
      <xdr:row>1</xdr:row>
      <xdr:rowOff>114300</xdr:rowOff>
    </xdr:from>
    <xdr:to>
      <xdr:col>1</xdr:col>
      <xdr:colOff>1943100</xdr:colOff>
      <xdr:row>1</xdr:row>
      <xdr:rowOff>584200</xdr:rowOff>
    </xdr:to>
    <xdr:pic>
      <xdr:nvPicPr>
        <xdr:cNvPr id="3" name="Graphic 2">
          <a:hlinkClick xmlns:r="http://schemas.openxmlformats.org/officeDocument/2006/relationships" r:id="rId1"/>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xmlns="" r:embed="rId3"/>
            </a:ext>
          </a:extLst>
        </a:blip>
        <a:stretch>
          <a:fillRect/>
        </a:stretch>
      </xdr:blipFill>
      <xdr:spPr>
        <a:xfrm>
          <a:off x="190500" y="215900"/>
          <a:ext cx="1854200" cy="469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88900</xdr:colOff>
      <xdr:row>1</xdr:row>
      <xdr:rowOff>114300</xdr:rowOff>
    </xdr:from>
    <xdr:to>
      <xdr:col>1</xdr:col>
      <xdr:colOff>1943100</xdr:colOff>
      <xdr:row>1</xdr:row>
      <xdr:rowOff>584200</xdr:rowOff>
    </xdr:to>
    <xdr:pic>
      <xdr:nvPicPr>
        <xdr:cNvPr id="2" name="Graphic 2">
          <a:hlinkClick xmlns:r="http://schemas.openxmlformats.org/officeDocument/2006/relationships" r:id="rId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xmlns="" r:embed="rId3"/>
            </a:ext>
          </a:extLst>
        </a:blip>
        <a:stretch>
          <a:fillRect/>
        </a:stretch>
      </xdr:blipFill>
      <xdr:spPr>
        <a:xfrm>
          <a:off x="195580" y="213360"/>
          <a:ext cx="1854200" cy="469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88900</xdr:colOff>
      <xdr:row>1</xdr:row>
      <xdr:rowOff>114300</xdr:rowOff>
    </xdr:from>
    <xdr:to>
      <xdr:col>1</xdr:col>
      <xdr:colOff>1943100</xdr:colOff>
      <xdr:row>1</xdr:row>
      <xdr:rowOff>584200</xdr:rowOff>
    </xdr:to>
    <xdr:pic>
      <xdr:nvPicPr>
        <xdr:cNvPr id="2" name="Graphic 2">
          <a:hlinkClick xmlns:r="http://schemas.openxmlformats.org/officeDocument/2006/relationships" r:id="rId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xmlns="" r:embed="rId3"/>
            </a:ext>
          </a:extLst>
        </a:blip>
        <a:stretch>
          <a:fillRect/>
        </a:stretch>
      </xdr:blipFill>
      <xdr:spPr>
        <a:xfrm>
          <a:off x="195580" y="213360"/>
          <a:ext cx="1854200" cy="4699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88900</xdr:colOff>
      <xdr:row>1</xdr:row>
      <xdr:rowOff>114300</xdr:rowOff>
    </xdr:from>
    <xdr:to>
      <xdr:col>1</xdr:col>
      <xdr:colOff>1943100</xdr:colOff>
      <xdr:row>1</xdr:row>
      <xdr:rowOff>584200</xdr:rowOff>
    </xdr:to>
    <xdr:pic>
      <xdr:nvPicPr>
        <xdr:cNvPr id="2" name="Graphic 2">
          <a:hlinkClick xmlns:r="http://schemas.openxmlformats.org/officeDocument/2006/relationships" r:id="rId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xmlns="" r:embed="rId3"/>
            </a:ext>
          </a:extLst>
        </a:blip>
        <a:stretch>
          <a:fillRect/>
        </a:stretch>
      </xdr:blipFill>
      <xdr:spPr>
        <a:xfrm>
          <a:off x="195580" y="213360"/>
          <a:ext cx="1854200" cy="4699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88900</xdr:colOff>
      <xdr:row>1</xdr:row>
      <xdr:rowOff>114300</xdr:rowOff>
    </xdr:from>
    <xdr:to>
      <xdr:col>1</xdr:col>
      <xdr:colOff>1943100</xdr:colOff>
      <xdr:row>1</xdr:row>
      <xdr:rowOff>584200</xdr:rowOff>
    </xdr:to>
    <xdr:pic>
      <xdr:nvPicPr>
        <xdr:cNvPr id="2" name="Graphic 2">
          <a:hlinkClick xmlns:r="http://schemas.openxmlformats.org/officeDocument/2006/relationships" r:id="rId1"/>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xmlns="" r:embed="rId3"/>
            </a:ext>
          </a:extLst>
        </a:blip>
        <a:stretch>
          <a:fillRect/>
        </a:stretch>
      </xdr:blipFill>
      <xdr:spPr>
        <a:xfrm>
          <a:off x="195580" y="213360"/>
          <a:ext cx="1854200" cy="4699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88900</xdr:colOff>
      <xdr:row>1</xdr:row>
      <xdr:rowOff>114300</xdr:rowOff>
    </xdr:from>
    <xdr:to>
      <xdr:col>1</xdr:col>
      <xdr:colOff>1943100</xdr:colOff>
      <xdr:row>1</xdr:row>
      <xdr:rowOff>584200</xdr:rowOff>
    </xdr:to>
    <xdr:pic>
      <xdr:nvPicPr>
        <xdr:cNvPr id="2" name="Graphic 2">
          <a:hlinkClick xmlns:r="http://schemas.openxmlformats.org/officeDocument/2006/relationships" r:id="rId1"/>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xmlns="" r:embed="rId3"/>
            </a:ext>
          </a:extLst>
        </a:blip>
        <a:stretch>
          <a:fillRect/>
        </a:stretch>
      </xdr:blipFill>
      <xdr:spPr>
        <a:xfrm>
          <a:off x="195580" y="213360"/>
          <a:ext cx="1854200" cy="4699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88900</xdr:colOff>
      <xdr:row>1</xdr:row>
      <xdr:rowOff>114300</xdr:rowOff>
    </xdr:from>
    <xdr:to>
      <xdr:col>1</xdr:col>
      <xdr:colOff>1943100</xdr:colOff>
      <xdr:row>1</xdr:row>
      <xdr:rowOff>584200</xdr:rowOff>
    </xdr:to>
    <xdr:pic>
      <xdr:nvPicPr>
        <xdr:cNvPr id="2" name="Graphic 2">
          <a:hlinkClick xmlns:r="http://schemas.openxmlformats.org/officeDocument/2006/relationships" r:id="rId1"/>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xmlns="" r:embed="rId3"/>
            </a:ext>
          </a:extLst>
        </a:blip>
        <a:stretch>
          <a:fillRect/>
        </a:stretch>
      </xdr:blipFill>
      <xdr:spPr>
        <a:xfrm>
          <a:off x="195580" y="213360"/>
          <a:ext cx="1854200" cy="469900"/>
        </a:xfrm>
        <a:prstGeom prst="rect">
          <a:avLst/>
        </a:prstGeom>
      </xdr:spPr>
    </xdr:pic>
    <xdr:clientData/>
  </xdr:twoCellAnchor>
</xdr:wsDr>
</file>

<file path=xl/tables/table1.xml><?xml version="1.0" encoding="utf-8"?>
<table xmlns="http://schemas.openxmlformats.org/spreadsheetml/2006/main" id="58" name="Table11438506274869859" displayName="Table11438506274869859" ref="B19:E25" totalsRowCount="1" headerRowDxfId="755" dataDxfId="754" totalsRowDxfId="752" tableBorderDxfId="753">
  <autoFilter ref="B19:E24"/>
  <tableColumns count="4">
    <tableColumn id="1" name="HOUSING" totalsRowLabel="Total" dataDxfId="751" totalsRowDxfId="750"/>
    <tableColumn id="2" name="Projected Cost" totalsRowFunction="sum" dataDxfId="749" totalsRowDxfId="748">
      <calculatedColumnFormula>IF('Starting Page'!I24="Yes",'Starting Page'!I25,IF(AND('Starting Page'!I24="No",'Starting Page'!I28="No"),0,Table114385062748698[[#This Row],[Projected Cost]]+Table1143850627486983[[#This Row],[Projected Cost]]+Table114385062748698310[[#This Row],[Projected Cost]]+Table11438506274869831017[[#This Row],[Projected Cost]]+Table11438506274869824[[#This Row],[Projected Cost]]+Table1143850627486983101731[[#This Row],[Projected Cost]]+Table114385062748698310173138[[#This Row],[Projected Cost]]+Table11438506274869831017313845[[#This Row],[Projected Cost]]))</calculatedColumnFormula>
    </tableColumn>
    <tableColumn id="3" name="Actual Cost" totalsRowFunction="sum" dataDxfId="747" totalsRowDxfId="746">
      <calculatedColumnFormula>Table114385062748698[[#This Row],[Actual Cost]]+Table1143850627486983[[#This Row],[Actual Cost]]+Table114385062748698310[[#This Row],[Actual Cost]]+Table11438506274869831017[[#This Row],[Actual Cost]]+Table11438506274869824[[#This Row],[Actual Cost]]+Table1143850627486983101731[[#This Row],[Actual Cost]]+Table114385062748698310173138[[#This Row],[Actual Cost]]+Table11438506274869831017313845[[#This Row],[Actual Cost]]</calculatedColumnFormula>
    </tableColumn>
    <tableColumn id="4" name="Difference" totalsRowFunction="sum" dataDxfId="745" totalsRowDxfId="744">
      <calculatedColumnFormula>Table11438506274869859[Projected Cost]-Table11438506274869859[Actual Cost]</calculatedColumnFormula>
    </tableColumn>
  </tableColumns>
  <tableStyleInfo name="TableStyleMedium23" showFirstColumn="0" showLastColumn="0" showRowStripes="1" showColumnStripes="0"/>
</table>
</file>

<file path=xl/tables/table10.xml><?xml version="1.0" encoding="utf-8"?>
<table xmlns="http://schemas.openxmlformats.org/spreadsheetml/2006/main" id="102" name="Table5194355677991103" displayName="Table5194355677991103" ref="B39:E43" totalsRowCount="1" headerRowDxfId="647" dataDxfId="646" totalsRowDxfId="644" tableBorderDxfId="645">
  <autoFilter ref="B39:E42"/>
  <tableColumns count="4">
    <tableColumn id="1" name="FOOD" totalsRowLabel="Total" dataDxfId="643" totalsRowDxfId="642"/>
    <tableColumn id="2" name="Projected Cost" totalsRowFunction="sum" dataDxfId="641" totalsRowDxfId="640"/>
    <tableColumn id="3" name="Actual Cost" totalsRowFunction="sum" dataDxfId="639" totalsRowDxfId="638">
      <calculatedColumnFormula>#REF!</calculatedColumnFormula>
    </tableColumn>
    <tableColumn id="4" name="Difference" totalsRowFunction="sum" dataDxfId="637" totalsRowDxfId="636">
      <calculatedColumnFormula>Table5194355677991103[Projected Cost]-Table5194355677991103[Actual Cost]</calculatedColumnFormula>
    </tableColumn>
  </tableColumns>
  <tableStyleInfo name="TableStyleMedium23" showFirstColumn="0" showLastColumn="0" showRowStripes="1" showColumnStripes="0"/>
</table>
</file>

<file path=xl/tables/table11.xml><?xml version="1.0" encoding="utf-8"?>
<table xmlns="http://schemas.openxmlformats.org/spreadsheetml/2006/main" id="104" name="Table3214557698193105" displayName="Table3214557698193105" ref="B27:E33" totalsRowCount="1" headerRowDxfId="635" dataDxfId="634" totalsRowDxfId="632" tableBorderDxfId="633">
  <autoFilter ref="B27:E32"/>
  <tableColumns count="4">
    <tableColumn id="1" name="TRANSPORTATION" totalsRowLabel="Total" dataDxfId="631" totalsRowDxfId="630"/>
    <tableColumn id="2" name="Projected Cost" totalsRowFunction="sum" dataDxfId="629" totalsRowDxfId="628"/>
    <tableColumn id="3" name="Actual Cost" totalsRowFunction="sum" dataDxfId="627" totalsRowDxfId="626">
      <calculatedColumnFormula>#REF!</calculatedColumnFormula>
    </tableColumn>
    <tableColumn id="4" name="Difference" totalsRowFunction="sum" dataDxfId="625" totalsRowDxfId="624">
      <calculatedColumnFormula>Table3214557698193105[Projected Cost]-Table3214557698193105[Actual Cost]</calculatedColumnFormula>
    </tableColumn>
  </tableColumns>
  <tableStyleInfo name="TableStyleMedium23" showFirstColumn="0" showLastColumn="0" showRowStripes="1" showColumnStripes="0"/>
</table>
</file>

<file path=xl/tables/table12.xml><?xml version="1.0" encoding="utf-8"?>
<table xmlns="http://schemas.openxmlformats.org/spreadsheetml/2006/main" id="107" name="Table7244860728496108" displayName="Table7244860728496108" ref="B45:E51" totalsRowCount="1" headerRowDxfId="623" dataDxfId="622" totalsRowDxfId="620" tableBorderDxfId="621">
  <autoFilter ref="B45:E50"/>
  <tableColumns count="4">
    <tableColumn id="1" name="PERSONAL CARE" totalsRowLabel="Total" dataDxfId="619" totalsRowDxfId="618"/>
    <tableColumn id="2" name="Projected Cost" totalsRowFunction="sum" dataDxfId="617" totalsRowDxfId="616"/>
    <tableColumn id="3" name="Actual Cost" totalsRowFunction="sum" dataDxfId="615" totalsRowDxfId="614">
      <calculatedColumnFormula>#REF!</calculatedColumnFormula>
    </tableColumn>
    <tableColumn id="4" name="Difference" totalsRowFunction="sum" dataDxfId="613" totalsRowDxfId="612">
      <calculatedColumnFormula>Table7244860728496108[Projected Cost]-Table7244860728496108[Actual Cost]</calculatedColumnFormula>
    </tableColumn>
  </tableColumns>
  <tableStyleInfo name="TableStyleMedium23" showFirstColumn="0" showLastColumn="0" showRowStripes="1" showColumnStripes="0"/>
</table>
</file>

<file path=xl/tables/table13.xml><?xml version="1.0" encoding="utf-8"?>
<table xmlns="http://schemas.openxmlformats.org/spreadsheetml/2006/main" id="108" name="Table2254961738597109" displayName="Table2254961738597109" ref="B53:E59" totalsRowCount="1" headerRowDxfId="611" dataDxfId="610" totalsRowDxfId="608" tableBorderDxfId="609">
  <autoFilter ref="B53:E58"/>
  <tableColumns count="4">
    <tableColumn id="1" name="ENTERTAINMENT" totalsRowLabel="Total" dataDxfId="607" totalsRowDxfId="606"/>
    <tableColumn id="2" name="Projected Cost" totalsRowFunction="sum" dataDxfId="605" totalsRowDxfId="604"/>
    <tableColumn id="3" name="Actual Cost" totalsRowFunction="sum" dataDxfId="603" totalsRowDxfId="602"/>
    <tableColumn id="4" name="Difference" totalsRowFunction="sum" dataDxfId="601" totalsRowDxfId="600">
      <calculatedColumnFormula>Table2254961738597109[Projected Cost]-Table2254961738597109[Actual Cost]</calculatedColumnFormula>
    </tableColumn>
  </tableColumns>
  <tableStyleInfo name="TableStyleMedium23" showFirstColumn="0" showLastColumn="0" showRowStripes="1" showColumnStripes="0"/>
</table>
</file>

<file path=xl/tables/table14.xml><?xml version="1.0" encoding="utf-8"?>
<table xmlns="http://schemas.openxmlformats.org/spreadsheetml/2006/main" id="1" name="Table1143850627486982" displayName="Table1143850627486982" ref="B11:E17" totalsRowCount="1" headerRowDxfId="599" dataDxfId="598" totalsRowDxfId="596" tableBorderDxfId="597">
  <autoFilter ref="B11:E16"/>
  <tableColumns count="4">
    <tableColumn id="1" name="SCHOOL" totalsRowLabel="Total" dataDxfId="595" totalsRowDxfId="594"/>
    <tableColumn id="2" name="Projected Cost" totalsRowFunction="sum" dataDxfId="593" totalsRowDxfId="592"/>
    <tableColumn id="3" name="Actual Cost" totalsRowFunction="sum" dataDxfId="591" totalsRowDxfId="590"/>
    <tableColumn id="4" name="Difference" totalsRowFunction="sum" dataDxfId="589" totalsRowDxfId="588">
      <calculatedColumnFormula>Table1143850627486982[Projected Cost]-Table1143850627486982[Actual Cost]</calculatedColumnFormula>
    </tableColumn>
  </tableColumns>
  <tableStyleInfo name="TableStyleMedium23" showFirstColumn="0" showLastColumn="0" showRowStripes="1" showColumnStripes="0"/>
</table>
</file>

<file path=xl/tables/table15.xml><?xml version="1.0" encoding="utf-8"?>
<table xmlns="http://schemas.openxmlformats.org/spreadsheetml/2006/main" id="2" name="Table1143850627486983" displayName="Table1143850627486983" ref="B19:E25" totalsRowCount="1" headerRowDxfId="587" dataDxfId="586" totalsRowDxfId="584" tableBorderDxfId="585">
  <autoFilter ref="B19:E24"/>
  <tableColumns count="4">
    <tableColumn id="1" name="HOUSING" totalsRowLabel="Total" dataDxfId="583" totalsRowDxfId="582"/>
    <tableColumn id="2" name="Projected Cost" totalsRowFunction="sum" dataDxfId="581" totalsRowDxfId="580"/>
    <tableColumn id="3" name="Actual Cost" totalsRowFunction="sum" dataDxfId="579" totalsRowDxfId="578"/>
    <tableColumn id="4" name="Difference" totalsRowFunction="sum" dataDxfId="577" totalsRowDxfId="576">
      <calculatedColumnFormula>Table1143850627486983[Projected Cost]-Table1143850627486983[Actual Cost]</calculatedColumnFormula>
    </tableColumn>
  </tableColumns>
  <tableStyleInfo name="TableStyleMedium23" showFirstColumn="0" showLastColumn="0" showRowStripes="1" showColumnStripes="0"/>
</table>
</file>

<file path=xl/tables/table16.xml><?xml version="1.0" encoding="utf-8"?>
<table xmlns="http://schemas.openxmlformats.org/spreadsheetml/2006/main" id="3" name="Table4153951637587994" displayName="Table4153951637587994" ref="B35:E37" totalsRowCount="1" headerRowDxfId="575" dataDxfId="574" totalsRowDxfId="572" tableBorderDxfId="573">
  <autoFilter ref="B35:E36"/>
  <tableColumns count="4">
    <tableColumn id="1" name="INSURANCE" totalsRowLabel="Total" dataDxfId="571" totalsRowDxfId="570"/>
    <tableColumn id="2" name="Projected Cost" totalsRowFunction="sum" dataDxfId="569" totalsRowDxfId="568"/>
    <tableColumn id="3" name="Actual Cost" totalsRowFunction="sum" dataDxfId="567" totalsRowDxfId="566">
      <calculatedColumnFormula>L46</calculatedColumnFormula>
    </tableColumn>
    <tableColumn id="4" name="Difference" totalsRowFunction="sum" dataDxfId="565" totalsRowDxfId="564">
      <calculatedColumnFormula>Table4153951637587994[Projected Cost]-Table4153951637587994[Actual Cost]</calculatedColumnFormula>
    </tableColumn>
  </tableColumns>
  <tableStyleInfo name="TableStyleMedium23" showFirstColumn="0" showLastColumn="0" showRowStripes="1" showColumnStripes="0"/>
</table>
</file>

<file path=xl/tables/table17.xml><?xml version="1.0" encoding="utf-8"?>
<table xmlns="http://schemas.openxmlformats.org/spreadsheetml/2006/main" id="4" name="Table51943556779911035" displayName="Table51943556779911035" ref="B39:E43" totalsRowCount="1" headerRowDxfId="563" dataDxfId="562" totalsRowDxfId="560" tableBorderDxfId="561">
  <autoFilter ref="B39:E42"/>
  <tableColumns count="4">
    <tableColumn id="1" name="FOOD" totalsRowLabel="Total" dataDxfId="559" totalsRowDxfId="558"/>
    <tableColumn id="2" name="Projected Cost" totalsRowFunction="sum" dataDxfId="557" totalsRowDxfId="556"/>
    <tableColumn id="3" name="Actual Cost" totalsRowFunction="sum" dataDxfId="555" totalsRowDxfId="554">
      <calculatedColumnFormula>#REF!</calculatedColumnFormula>
    </tableColumn>
    <tableColumn id="4" name="Difference" totalsRowFunction="sum" dataDxfId="553" totalsRowDxfId="552">
      <calculatedColumnFormula>Table51943556779911035[Projected Cost]-Table51943556779911035[Actual Cost]</calculatedColumnFormula>
    </tableColumn>
  </tableColumns>
  <tableStyleInfo name="TableStyleMedium23" showFirstColumn="0" showLastColumn="0" showRowStripes="1" showColumnStripes="0"/>
</table>
</file>

<file path=xl/tables/table18.xml><?xml version="1.0" encoding="utf-8"?>
<table xmlns="http://schemas.openxmlformats.org/spreadsheetml/2006/main" id="5" name="Table32145576981931056" displayName="Table32145576981931056" ref="B27:E33" totalsRowCount="1" headerRowDxfId="551" dataDxfId="550" totalsRowDxfId="548" tableBorderDxfId="549">
  <autoFilter ref="B27:E32"/>
  <tableColumns count="4">
    <tableColumn id="1" name="TRANSPORTATION" totalsRowLabel="Total" dataDxfId="547" totalsRowDxfId="546"/>
    <tableColumn id="2" name="Projected Cost" totalsRowFunction="sum" dataDxfId="545" totalsRowDxfId="544"/>
    <tableColumn id="3" name="Actual Cost" totalsRowFunction="sum" dataDxfId="543" totalsRowDxfId="542">
      <calculatedColumnFormula>#REF!</calculatedColumnFormula>
    </tableColumn>
    <tableColumn id="4" name="Difference" totalsRowFunction="sum" dataDxfId="541" totalsRowDxfId="540">
      <calculatedColumnFormula>Table32145576981931056[Projected Cost]-Table32145576981931056[Actual Cost]</calculatedColumnFormula>
    </tableColumn>
  </tableColumns>
  <tableStyleInfo name="TableStyleMedium23" showFirstColumn="0" showLastColumn="0" showRowStripes="1" showColumnStripes="0"/>
</table>
</file>

<file path=xl/tables/table19.xml><?xml version="1.0" encoding="utf-8"?>
<table xmlns="http://schemas.openxmlformats.org/spreadsheetml/2006/main" id="6" name="Table72448607284961087" displayName="Table72448607284961087" ref="B45:E51" totalsRowCount="1" headerRowDxfId="539" dataDxfId="538" totalsRowDxfId="536" tableBorderDxfId="537">
  <autoFilter ref="B45:E50"/>
  <tableColumns count="4">
    <tableColumn id="1" name="PERSONAL CARE" totalsRowLabel="Total" dataDxfId="535" totalsRowDxfId="534"/>
    <tableColumn id="2" name="Projected Cost" totalsRowFunction="sum" dataDxfId="533" totalsRowDxfId="532"/>
    <tableColumn id="3" name="Actual Cost" totalsRowFunction="sum" dataDxfId="531" totalsRowDxfId="530">
      <calculatedColumnFormula>#REF!</calculatedColumnFormula>
    </tableColumn>
    <tableColumn id="4" name="Difference" totalsRowFunction="sum" dataDxfId="529" totalsRowDxfId="528">
      <calculatedColumnFormula>Table72448607284961087[Projected Cost]-Table72448607284961087[Actual Cost]</calculatedColumnFormula>
    </tableColumn>
  </tableColumns>
  <tableStyleInfo name="TableStyleMedium23" showFirstColumn="0" showLastColumn="0" showRowStripes="1" showColumnStripes="0"/>
</table>
</file>

<file path=xl/tables/table2.xml><?xml version="1.0" encoding="utf-8"?>
<table xmlns="http://schemas.openxmlformats.org/spreadsheetml/2006/main" id="59" name="Table41539516375879960" displayName="Table41539516375879960" ref="B35:E37" totalsRowCount="1" headerRowDxfId="743" dataDxfId="742" totalsRowDxfId="740" tableBorderDxfId="741">
  <autoFilter ref="B35:E36"/>
  <tableColumns count="4">
    <tableColumn id="1" name="INSURANCE" totalsRowLabel="Total" dataDxfId="739" totalsRowDxfId="738"/>
    <tableColumn id="2" name="Projected Cost" totalsRowFunction="sum" dataDxfId="737" totalsRowDxfId="736">
      <calculatedColumnFormula>Table415395163758799[Projected Cost]+Table4153951637587994[Projected Cost]+Table415395163758799411[Projected Cost]+Table41539516375879941118[Projected Cost]+Table41539516375879925[Projected Cost]+Table4153951637587994111832[Projected Cost]+Table415395163758799411183239[Projected Cost]+Table41539516375879941118323946[Projected Cost]</calculatedColumnFormula>
    </tableColumn>
    <tableColumn id="3" name="Actual Cost" totalsRowFunction="sum" dataDxfId="735" totalsRowDxfId="734">
      <calculatedColumnFormula>Table415395163758799[Actual Cost]+Table4153951637587994[Actual Cost]+Table415395163758799411[Actual Cost]+Table41539516375879941118[Actual Cost]+Table41539516375879925[Actual Cost]+Table4153951637587994111832[Actual Cost]+Table415395163758799411183239[Actual Cost]+Table41539516375879941118323946[Actual Cost]</calculatedColumnFormula>
    </tableColumn>
    <tableColumn id="4" name="Difference" totalsRowFunction="sum" dataDxfId="733" totalsRowDxfId="732">
      <calculatedColumnFormula>Table41539516375879960[Projected Cost]-Table41539516375879960[Actual Cost]</calculatedColumnFormula>
    </tableColumn>
  </tableColumns>
  <tableStyleInfo name="TableStyleMedium23" showFirstColumn="0" showLastColumn="0" showRowStripes="1" showColumnStripes="0"/>
</table>
</file>

<file path=xl/tables/table20.xml><?xml version="1.0" encoding="utf-8"?>
<table xmlns="http://schemas.openxmlformats.org/spreadsheetml/2006/main" id="7" name="Table22549617385971098" displayName="Table22549617385971098" ref="B53:E59" totalsRowCount="1" headerRowDxfId="527" dataDxfId="526" totalsRowDxfId="524" tableBorderDxfId="525">
  <autoFilter ref="B53:E58"/>
  <tableColumns count="4">
    <tableColumn id="1" name="ENTERTAINMENT" totalsRowLabel="Total" dataDxfId="523" totalsRowDxfId="522"/>
    <tableColumn id="2" name="Projected Cost" totalsRowFunction="sum" dataDxfId="521" totalsRowDxfId="520"/>
    <tableColumn id="3" name="Actual Cost" totalsRowFunction="sum" dataDxfId="519" totalsRowDxfId="518"/>
    <tableColumn id="4" name="Difference" totalsRowFunction="sum" dataDxfId="517" totalsRowDxfId="516">
      <calculatedColumnFormula>Table22549617385971098[Projected Cost]-Table22549617385971098[Actual Cost]</calculatedColumnFormula>
    </tableColumn>
  </tableColumns>
  <tableStyleInfo name="TableStyleMedium23" showFirstColumn="0" showLastColumn="0" showRowStripes="1" showColumnStripes="0"/>
</table>
</file>

<file path=xl/tables/table21.xml><?xml version="1.0" encoding="utf-8"?>
<table xmlns="http://schemas.openxmlformats.org/spreadsheetml/2006/main" id="8" name="Table11438506274869829" displayName="Table11438506274869829" ref="B11:E17" totalsRowCount="1" headerRowDxfId="515" dataDxfId="514" totalsRowDxfId="512" tableBorderDxfId="513">
  <autoFilter ref="B11:E16"/>
  <tableColumns count="4">
    <tableColumn id="1" name="SCHOOL" totalsRowLabel="Total" dataDxfId="511" totalsRowDxfId="510"/>
    <tableColumn id="2" name="Projected Cost" totalsRowFunction="sum" dataDxfId="509" totalsRowDxfId="508"/>
    <tableColumn id="3" name="Actual Cost" totalsRowFunction="sum" dataDxfId="507" totalsRowDxfId="506"/>
    <tableColumn id="4" name="Difference" totalsRowFunction="sum" dataDxfId="505" totalsRowDxfId="504">
      <calculatedColumnFormula>Table11438506274869829[Projected Cost]-Table11438506274869829[Actual Cost]</calculatedColumnFormula>
    </tableColumn>
  </tableColumns>
  <tableStyleInfo name="TableStyleMedium23" showFirstColumn="0" showLastColumn="0" showRowStripes="1" showColumnStripes="0"/>
</table>
</file>

<file path=xl/tables/table22.xml><?xml version="1.0" encoding="utf-8"?>
<table xmlns="http://schemas.openxmlformats.org/spreadsheetml/2006/main" id="9" name="Table114385062748698310" displayName="Table114385062748698310" ref="B19:E25" totalsRowCount="1" headerRowDxfId="503" dataDxfId="502" totalsRowDxfId="500" tableBorderDxfId="501">
  <autoFilter ref="B19:E24"/>
  <tableColumns count="4">
    <tableColumn id="1" name="HOUSING" totalsRowLabel="Total" dataDxfId="499" totalsRowDxfId="498"/>
    <tableColumn id="2" name="Projected Cost" totalsRowFunction="sum" dataDxfId="497" totalsRowDxfId="496"/>
    <tableColumn id="3" name="Actual Cost" totalsRowFunction="sum" dataDxfId="495" totalsRowDxfId="494"/>
    <tableColumn id="4" name="Difference" totalsRowFunction="sum" dataDxfId="493" totalsRowDxfId="492">
      <calculatedColumnFormula>Table114385062748698310[Projected Cost]-Table114385062748698310[Actual Cost]</calculatedColumnFormula>
    </tableColumn>
  </tableColumns>
  <tableStyleInfo name="TableStyleMedium23" showFirstColumn="0" showLastColumn="0" showRowStripes="1" showColumnStripes="0"/>
</table>
</file>

<file path=xl/tables/table23.xml><?xml version="1.0" encoding="utf-8"?>
<table xmlns="http://schemas.openxmlformats.org/spreadsheetml/2006/main" id="10" name="Table415395163758799411" displayName="Table415395163758799411" ref="B35:E37" totalsRowCount="1" headerRowDxfId="491" dataDxfId="490" totalsRowDxfId="488" tableBorderDxfId="489">
  <autoFilter ref="B35:E36"/>
  <tableColumns count="4">
    <tableColumn id="1" name="INSURANCE" totalsRowLabel="Total" dataDxfId="487" totalsRowDxfId="486"/>
    <tableColumn id="2" name="Projected Cost" totalsRowFunction="sum" dataDxfId="485" totalsRowDxfId="484"/>
    <tableColumn id="3" name="Actual Cost" totalsRowFunction="sum" dataDxfId="483" totalsRowDxfId="482">
      <calculatedColumnFormula>L46</calculatedColumnFormula>
    </tableColumn>
    <tableColumn id="4" name="Difference" totalsRowFunction="sum" dataDxfId="481" totalsRowDxfId="480">
      <calculatedColumnFormula>Table415395163758799411[Projected Cost]-Table415395163758799411[Actual Cost]</calculatedColumnFormula>
    </tableColumn>
  </tableColumns>
  <tableStyleInfo name="TableStyleMedium23" showFirstColumn="0" showLastColumn="0" showRowStripes="1" showColumnStripes="0"/>
</table>
</file>

<file path=xl/tables/table24.xml><?xml version="1.0" encoding="utf-8"?>
<table xmlns="http://schemas.openxmlformats.org/spreadsheetml/2006/main" id="11" name="Table5194355677991103512" displayName="Table5194355677991103512" ref="B39:E43" totalsRowCount="1" headerRowDxfId="479" dataDxfId="478" totalsRowDxfId="476" tableBorderDxfId="477">
  <autoFilter ref="B39:E42"/>
  <tableColumns count="4">
    <tableColumn id="1" name="FOOD" totalsRowLabel="Total" dataDxfId="475" totalsRowDxfId="474"/>
    <tableColumn id="2" name="Projected Cost" totalsRowFunction="sum" dataDxfId="473" totalsRowDxfId="472"/>
    <tableColumn id="3" name="Actual Cost" totalsRowFunction="sum" dataDxfId="471" totalsRowDxfId="470">
      <calculatedColumnFormula>#REF!</calculatedColumnFormula>
    </tableColumn>
    <tableColumn id="4" name="Difference" totalsRowFunction="sum" dataDxfId="469" totalsRowDxfId="468">
      <calculatedColumnFormula>Table5194355677991103512[Projected Cost]-Table5194355677991103512[Actual Cost]</calculatedColumnFormula>
    </tableColumn>
  </tableColumns>
  <tableStyleInfo name="TableStyleMedium23" showFirstColumn="0" showLastColumn="0" showRowStripes="1" showColumnStripes="0"/>
</table>
</file>

<file path=xl/tables/table25.xml><?xml version="1.0" encoding="utf-8"?>
<table xmlns="http://schemas.openxmlformats.org/spreadsheetml/2006/main" id="12" name="Table3214557698193105613" displayName="Table3214557698193105613" ref="B27:E33" totalsRowCount="1" headerRowDxfId="467" dataDxfId="466" totalsRowDxfId="464" tableBorderDxfId="465">
  <autoFilter ref="B27:E32"/>
  <tableColumns count="4">
    <tableColumn id="1" name="TRANSPORTATION" totalsRowLabel="Total" dataDxfId="463" totalsRowDxfId="462"/>
    <tableColumn id="2" name="Projected Cost" totalsRowFunction="sum" dataDxfId="461" totalsRowDxfId="460"/>
    <tableColumn id="3" name="Actual Cost" totalsRowFunction="sum" dataDxfId="459" totalsRowDxfId="458">
      <calculatedColumnFormula>#REF!</calculatedColumnFormula>
    </tableColumn>
    <tableColumn id="4" name="Difference" totalsRowFunction="sum" dataDxfId="457" totalsRowDxfId="456">
      <calculatedColumnFormula>Table3214557698193105613[Projected Cost]-Table3214557698193105613[Actual Cost]</calculatedColumnFormula>
    </tableColumn>
  </tableColumns>
  <tableStyleInfo name="TableStyleMedium23" showFirstColumn="0" showLastColumn="0" showRowStripes="1" showColumnStripes="0"/>
</table>
</file>

<file path=xl/tables/table26.xml><?xml version="1.0" encoding="utf-8"?>
<table xmlns="http://schemas.openxmlformats.org/spreadsheetml/2006/main" id="13" name="Table7244860728496108714" displayName="Table7244860728496108714" ref="B45:E51" totalsRowCount="1" headerRowDxfId="455" dataDxfId="454" totalsRowDxfId="452" tableBorderDxfId="453">
  <autoFilter ref="B45:E50"/>
  <tableColumns count="4">
    <tableColumn id="1" name="PERSONAL CARE" totalsRowLabel="Total" dataDxfId="451" totalsRowDxfId="450"/>
    <tableColumn id="2" name="Projected Cost" totalsRowFunction="sum" dataDxfId="449" totalsRowDxfId="448"/>
    <tableColumn id="3" name="Actual Cost" totalsRowFunction="sum" dataDxfId="447" totalsRowDxfId="446">
      <calculatedColumnFormula>#REF!</calculatedColumnFormula>
    </tableColumn>
    <tableColumn id="4" name="Difference" totalsRowFunction="sum" dataDxfId="445" totalsRowDxfId="444">
      <calculatedColumnFormula>Table7244860728496108714[Projected Cost]-Table7244860728496108714[Actual Cost]</calculatedColumnFormula>
    </tableColumn>
  </tableColumns>
  <tableStyleInfo name="TableStyleMedium23" showFirstColumn="0" showLastColumn="0" showRowStripes="1" showColumnStripes="0"/>
</table>
</file>

<file path=xl/tables/table27.xml><?xml version="1.0" encoding="utf-8"?>
<table xmlns="http://schemas.openxmlformats.org/spreadsheetml/2006/main" id="14" name="Table2254961738597109815" displayName="Table2254961738597109815" ref="B53:E59" totalsRowCount="1" headerRowDxfId="443" dataDxfId="442" totalsRowDxfId="440" tableBorderDxfId="441">
  <autoFilter ref="B53:E58"/>
  <tableColumns count="4">
    <tableColumn id="1" name="ENTERTAINMENT" totalsRowLabel="Total" dataDxfId="439" totalsRowDxfId="438"/>
    <tableColumn id="2" name="Projected Cost" totalsRowFunction="sum" dataDxfId="437" totalsRowDxfId="436"/>
    <tableColumn id="3" name="Actual Cost" totalsRowFunction="sum" dataDxfId="435" totalsRowDxfId="434"/>
    <tableColumn id="4" name="Difference" totalsRowFunction="sum" dataDxfId="433" totalsRowDxfId="432">
      <calculatedColumnFormula>Table2254961738597109815[Projected Cost]-Table2254961738597109815[Actual Cost]</calculatedColumnFormula>
    </tableColumn>
  </tableColumns>
  <tableStyleInfo name="TableStyleMedium23" showFirstColumn="0" showLastColumn="0" showRowStripes="1" showColumnStripes="0"/>
</table>
</file>

<file path=xl/tables/table28.xml><?xml version="1.0" encoding="utf-8"?>
<table xmlns="http://schemas.openxmlformats.org/spreadsheetml/2006/main" id="15" name="Table1143850627486982916" displayName="Table1143850627486982916" ref="B11:E17" totalsRowCount="1" headerRowDxfId="431" dataDxfId="430" totalsRowDxfId="428" tableBorderDxfId="429">
  <autoFilter ref="B11:E16"/>
  <tableColumns count="4">
    <tableColumn id="1" name="SCHOOL" totalsRowLabel="Total" dataDxfId="427" totalsRowDxfId="426"/>
    <tableColumn id="2" name="Projected Cost" totalsRowFunction="sum" dataDxfId="425" totalsRowDxfId="424"/>
    <tableColumn id="3" name="Actual Cost" totalsRowFunction="sum" dataDxfId="423" totalsRowDxfId="422"/>
    <tableColumn id="4" name="Difference" totalsRowFunction="sum" dataDxfId="421" totalsRowDxfId="420">
      <calculatedColumnFormula>Table1143850627486982916[Projected Cost]-Table1143850627486982916[Actual Cost]</calculatedColumnFormula>
    </tableColumn>
  </tableColumns>
  <tableStyleInfo name="TableStyleMedium23" showFirstColumn="0" showLastColumn="0" showRowStripes="1" showColumnStripes="0"/>
</table>
</file>

<file path=xl/tables/table29.xml><?xml version="1.0" encoding="utf-8"?>
<table xmlns="http://schemas.openxmlformats.org/spreadsheetml/2006/main" id="16" name="Table11438506274869831017" displayName="Table11438506274869831017" ref="B19:E25" totalsRowCount="1" headerRowDxfId="419" dataDxfId="418" totalsRowDxfId="416" tableBorderDxfId="417">
  <autoFilter ref="B19:E24"/>
  <tableColumns count="4">
    <tableColumn id="1" name="HOUSING" totalsRowLabel="Total" dataDxfId="415" totalsRowDxfId="414"/>
    <tableColumn id="2" name="Projected Cost" totalsRowFunction="sum" dataDxfId="413" totalsRowDxfId="412"/>
    <tableColumn id="3" name="Actual Cost" totalsRowFunction="sum" dataDxfId="411" totalsRowDxfId="410"/>
    <tableColumn id="4" name="Difference" totalsRowFunction="sum" dataDxfId="409" totalsRowDxfId="408">
      <calculatedColumnFormula>Table11438506274869831017[Projected Cost]-Table11438506274869831017[Actual Cost]</calculatedColumnFormula>
    </tableColumn>
  </tableColumns>
  <tableStyleInfo name="TableStyleMedium23" showFirstColumn="0" showLastColumn="0" showRowStripes="1" showColumnStripes="0"/>
</table>
</file>

<file path=xl/tables/table3.xml><?xml version="1.0" encoding="utf-8"?>
<table xmlns="http://schemas.openxmlformats.org/spreadsheetml/2006/main" id="60" name="Table519435567799110361" displayName="Table519435567799110361" ref="B39:E43" totalsRowCount="1" headerRowDxfId="731" dataDxfId="730" totalsRowDxfId="728" tableBorderDxfId="729">
  <autoFilter ref="B39:E42"/>
  <tableColumns count="4">
    <tableColumn id="1" name="FOOD" totalsRowLabel="Total" dataDxfId="727" totalsRowDxfId="726"/>
    <tableColumn id="2" name="Projected Cost" totalsRowFunction="sum" dataDxfId="725" totalsRowDxfId="724">
      <calculatedColumnFormula>IF('Starting Page'!$I$24="Yes",'Starting Page'!I26,Table5194355677991103[[#This Row],[Projected Cost]]+Table51943556779911035[[#This Row],[Projected Cost]]+Table5194355677991103512[[#This Row],[Projected Cost]]+Table519435567799110351219[[#This Row],[Projected Cost]]+Table519435567799110326[[#This Row],[Projected Cost]]+Table51943556779911035121933[[#This Row],[Projected Cost]]+Table5194355677991103512193340[[#This Row],[Projected Cost]]+Table519435567799110351219334047[[#This Row],[Projected Cost]])</calculatedColumnFormula>
    </tableColumn>
    <tableColumn id="3" name="Actual Cost" totalsRowFunction="sum" dataDxfId="723" totalsRowDxfId="722">
      <calculatedColumnFormula>Table5194355677991103[[#This Row],[Actual Cost]]+Table51943556779911035[[#This Row],[Actual Cost]]+Table5194355677991103512[[#This Row],[Actual Cost]]+Table519435567799110351219[[#This Row],[Actual Cost]]+Table519435567799110326[[#This Row],[Actual Cost]]+Table51943556779911035121933[[#This Row],[Actual Cost]]+Table5194355677991103512193340[[#This Row],[Actual Cost]]+Table519435567799110351219334047[[#This Row],[Actual Cost]]</calculatedColumnFormula>
    </tableColumn>
    <tableColumn id="4" name="Difference" totalsRowFunction="sum" dataDxfId="721" totalsRowDxfId="720">
      <calculatedColumnFormula>Table519435567799110361[Projected Cost]-Table519435567799110361[Actual Cost]</calculatedColumnFormula>
    </tableColumn>
  </tableColumns>
  <tableStyleInfo name="TableStyleMedium23" showFirstColumn="0" showLastColumn="0" showRowStripes="1" showColumnStripes="0"/>
</table>
</file>

<file path=xl/tables/table30.xml><?xml version="1.0" encoding="utf-8"?>
<table xmlns="http://schemas.openxmlformats.org/spreadsheetml/2006/main" id="17" name="Table41539516375879941118" displayName="Table41539516375879941118" ref="B35:E37" totalsRowCount="1" headerRowDxfId="407" dataDxfId="406" totalsRowDxfId="404" tableBorderDxfId="405">
  <autoFilter ref="B35:E36"/>
  <tableColumns count="4">
    <tableColumn id="1" name="INSURANCE" totalsRowLabel="Total" dataDxfId="403" totalsRowDxfId="402"/>
    <tableColumn id="2" name="Projected Cost" totalsRowFunction="sum" dataDxfId="401" totalsRowDxfId="400"/>
    <tableColumn id="3" name="Actual Cost" totalsRowFunction="sum" dataDxfId="399" totalsRowDxfId="398">
      <calculatedColumnFormula>L46</calculatedColumnFormula>
    </tableColumn>
    <tableColumn id="4" name="Difference" totalsRowFunction="sum" dataDxfId="397" totalsRowDxfId="396">
      <calculatedColumnFormula>Table41539516375879941118[Projected Cost]-Table41539516375879941118[Actual Cost]</calculatedColumnFormula>
    </tableColumn>
  </tableColumns>
  <tableStyleInfo name="TableStyleMedium23" showFirstColumn="0" showLastColumn="0" showRowStripes="1" showColumnStripes="0"/>
</table>
</file>

<file path=xl/tables/table31.xml><?xml version="1.0" encoding="utf-8"?>
<table xmlns="http://schemas.openxmlformats.org/spreadsheetml/2006/main" id="18" name="Table519435567799110351219" displayName="Table519435567799110351219" ref="B39:E43" totalsRowCount="1" headerRowDxfId="395" dataDxfId="394" totalsRowDxfId="392" tableBorderDxfId="393">
  <autoFilter ref="B39:E42"/>
  <tableColumns count="4">
    <tableColumn id="1" name="FOOD" totalsRowLabel="Total" dataDxfId="391" totalsRowDxfId="390"/>
    <tableColumn id="2" name="Projected Cost" totalsRowFunction="sum" dataDxfId="389" totalsRowDxfId="388"/>
    <tableColumn id="3" name="Actual Cost" totalsRowFunction="sum" dataDxfId="387" totalsRowDxfId="386">
      <calculatedColumnFormula>#REF!</calculatedColumnFormula>
    </tableColumn>
    <tableColumn id="4" name="Difference" totalsRowFunction="sum" dataDxfId="385" totalsRowDxfId="384">
      <calculatedColumnFormula>Table519435567799110351219[Projected Cost]-Table519435567799110351219[Actual Cost]</calculatedColumnFormula>
    </tableColumn>
  </tableColumns>
  <tableStyleInfo name="TableStyleMedium23" showFirstColumn="0" showLastColumn="0" showRowStripes="1" showColumnStripes="0"/>
</table>
</file>

<file path=xl/tables/table32.xml><?xml version="1.0" encoding="utf-8"?>
<table xmlns="http://schemas.openxmlformats.org/spreadsheetml/2006/main" id="19" name="Table321455769819310561320" displayName="Table321455769819310561320" ref="B27:E33" totalsRowCount="1" headerRowDxfId="383" dataDxfId="382" totalsRowDxfId="380" tableBorderDxfId="381">
  <autoFilter ref="B27:E32"/>
  <tableColumns count="4">
    <tableColumn id="1" name="TRANSPORTATION" totalsRowLabel="Total" dataDxfId="379" totalsRowDxfId="378"/>
    <tableColumn id="2" name="Projected Cost" totalsRowFunction="sum" dataDxfId="377" totalsRowDxfId="376"/>
    <tableColumn id="3" name="Actual Cost" totalsRowFunction="sum" dataDxfId="375" totalsRowDxfId="374">
      <calculatedColumnFormula>#REF!</calculatedColumnFormula>
    </tableColumn>
    <tableColumn id="4" name="Difference" totalsRowFunction="sum" dataDxfId="373" totalsRowDxfId="372">
      <calculatedColumnFormula>Table321455769819310561320[Projected Cost]-Table321455769819310561320[Actual Cost]</calculatedColumnFormula>
    </tableColumn>
  </tableColumns>
  <tableStyleInfo name="TableStyleMedium23" showFirstColumn="0" showLastColumn="0" showRowStripes="1" showColumnStripes="0"/>
</table>
</file>

<file path=xl/tables/table33.xml><?xml version="1.0" encoding="utf-8"?>
<table xmlns="http://schemas.openxmlformats.org/spreadsheetml/2006/main" id="20" name="Table724486072849610871421" displayName="Table724486072849610871421" ref="B45:E51" totalsRowCount="1" headerRowDxfId="371" dataDxfId="370" totalsRowDxfId="368" tableBorderDxfId="369">
  <autoFilter ref="B45:E50"/>
  <tableColumns count="4">
    <tableColumn id="1" name="PERSONAL CARE" totalsRowLabel="Total" dataDxfId="367" totalsRowDxfId="366"/>
    <tableColumn id="2" name="Projected Cost" totalsRowFunction="sum" dataDxfId="365" totalsRowDxfId="364"/>
    <tableColumn id="3" name="Actual Cost" totalsRowFunction="sum" dataDxfId="363" totalsRowDxfId="362">
      <calculatedColumnFormula>#REF!</calculatedColumnFormula>
    </tableColumn>
    <tableColumn id="4" name="Difference" totalsRowFunction="sum" dataDxfId="361" totalsRowDxfId="360">
      <calculatedColumnFormula>Table724486072849610871421[Projected Cost]-Table724486072849610871421[Actual Cost]</calculatedColumnFormula>
    </tableColumn>
  </tableColumns>
  <tableStyleInfo name="TableStyleMedium23" showFirstColumn="0" showLastColumn="0" showRowStripes="1" showColumnStripes="0"/>
</table>
</file>

<file path=xl/tables/table34.xml><?xml version="1.0" encoding="utf-8"?>
<table xmlns="http://schemas.openxmlformats.org/spreadsheetml/2006/main" id="21" name="Table225496173859710981522" displayName="Table225496173859710981522" ref="B53:E59" totalsRowCount="1" headerRowDxfId="359" dataDxfId="358" totalsRowDxfId="356" tableBorderDxfId="357">
  <autoFilter ref="B53:E58"/>
  <tableColumns count="4">
    <tableColumn id="1" name="ENTERTAINMENT" totalsRowLabel="Total" dataDxfId="355" totalsRowDxfId="354"/>
    <tableColumn id="2" name="Projected Cost" totalsRowFunction="sum" dataDxfId="353" totalsRowDxfId="352"/>
    <tableColumn id="3" name="Actual Cost" totalsRowFunction="sum" dataDxfId="351" totalsRowDxfId="350"/>
    <tableColumn id="4" name="Difference" totalsRowFunction="sum" dataDxfId="349" totalsRowDxfId="348">
      <calculatedColumnFormula>Table225496173859710981522[Projected Cost]-Table225496173859710981522[Actual Cost]</calculatedColumnFormula>
    </tableColumn>
  </tableColumns>
  <tableStyleInfo name="TableStyleMedium23" showFirstColumn="0" showLastColumn="0" showRowStripes="1" showColumnStripes="0"/>
</table>
</file>

<file path=xl/tables/table35.xml><?xml version="1.0" encoding="utf-8"?>
<table xmlns="http://schemas.openxmlformats.org/spreadsheetml/2006/main" id="22" name="Table114385062748698291623" displayName="Table114385062748698291623" ref="B11:E17" totalsRowCount="1" headerRowDxfId="347" dataDxfId="346" totalsRowDxfId="344" tableBorderDxfId="345">
  <autoFilter ref="B11:E16"/>
  <tableColumns count="4">
    <tableColumn id="1" name="SCHOOL" totalsRowLabel="Total" dataDxfId="343" totalsRowDxfId="342"/>
    <tableColumn id="2" name="Projected Cost" totalsRowFunction="sum" dataDxfId="341" totalsRowDxfId="340"/>
    <tableColumn id="3" name="Actual Cost" totalsRowFunction="sum" dataDxfId="339" totalsRowDxfId="338"/>
    <tableColumn id="4" name="Difference" totalsRowFunction="sum" dataDxfId="337" totalsRowDxfId="336">
      <calculatedColumnFormula>Table114385062748698291623[Projected Cost]-Table114385062748698291623[Actual Cost]</calculatedColumnFormula>
    </tableColumn>
  </tableColumns>
  <tableStyleInfo name="TableStyleMedium23" showFirstColumn="0" showLastColumn="0" showRowStripes="1" showColumnStripes="0"/>
</table>
</file>

<file path=xl/tables/table36.xml><?xml version="1.0" encoding="utf-8"?>
<table xmlns="http://schemas.openxmlformats.org/spreadsheetml/2006/main" id="23" name="Table11438506274869824" displayName="Table11438506274869824" ref="B19:E25" totalsRowCount="1" headerRowDxfId="335" dataDxfId="334" totalsRowDxfId="332" tableBorderDxfId="333">
  <autoFilter ref="B19:E24"/>
  <tableColumns count="4">
    <tableColumn id="1" name="HOUSING" totalsRowLabel="Total" dataDxfId="331" totalsRowDxfId="330"/>
    <tableColumn id="2" name="Projected Cost" totalsRowFunction="sum" dataDxfId="329" totalsRowDxfId="328"/>
    <tableColumn id="3" name="Actual Cost" totalsRowFunction="sum" dataDxfId="327" totalsRowDxfId="326"/>
    <tableColumn id="4" name="Difference" totalsRowFunction="sum" dataDxfId="325" totalsRowDxfId="324">
      <calculatedColumnFormula>Table11438506274869824[Projected Cost]-Table11438506274869824[Actual Cost]</calculatedColumnFormula>
    </tableColumn>
  </tableColumns>
  <tableStyleInfo name="TableStyleMedium23" showFirstColumn="0" showLastColumn="0" showRowStripes="1" showColumnStripes="0"/>
</table>
</file>

<file path=xl/tables/table37.xml><?xml version="1.0" encoding="utf-8"?>
<table xmlns="http://schemas.openxmlformats.org/spreadsheetml/2006/main" id="24" name="Table41539516375879925" displayName="Table41539516375879925" ref="B35:E37" totalsRowCount="1" headerRowDxfId="323" dataDxfId="322" totalsRowDxfId="320" tableBorderDxfId="321">
  <autoFilter ref="B35:E36"/>
  <tableColumns count="4">
    <tableColumn id="1" name="INSURANCE" totalsRowLabel="Total" dataDxfId="319" totalsRowDxfId="318"/>
    <tableColumn id="2" name="Projected Cost" totalsRowFunction="sum" dataDxfId="317" totalsRowDxfId="316"/>
    <tableColumn id="3" name="Actual Cost" totalsRowFunction="sum" dataDxfId="315" totalsRowDxfId="314">
      <calculatedColumnFormula>L46</calculatedColumnFormula>
    </tableColumn>
    <tableColumn id="4" name="Difference" totalsRowFunction="sum" dataDxfId="313" totalsRowDxfId="312">
      <calculatedColumnFormula>Table41539516375879925[Projected Cost]-Table41539516375879925[Actual Cost]</calculatedColumnFormula>
    </tableColumn>
  </tableColumns>
  <tableStyleInfo name="TableStyleMedium23" showFirstColumn="0" showLastColumn="0" showRowStripes="1" showColumnStripes="0"/>
</table>
</file>

<file path=xl/tables/table38.xml><?xml version="1.0" encoding="utf-8"?>
<table xmlns="http://schemas.openxmlformats.org/spreadsheetml/2006/main" id="25" name="Table519435567799110326" displayName="Table519435567799110326" ref="B39:E43" totalsRowCount="1" headerRowDxfId="311" dataDxfId="310" totalsRowDxfId="308" tableBorderDxfId="309">
  <autoFilter ref="B39:E42"/>
  <tableColumns count="4">
    <tableColumn id="1" name="FOOD" totalsRowLabel="Total" dataDxfId="307" totalsRowDxfId="306"/>
    <tableColumn id="2" name="Projected Cost" totalsRowFunction="sum" dataDxfId="305" totalsRowDxfId="304"/>
    <tableColumn id="3" name="Actual Cost" totalsRowFunction="sum" dataDxfId="303" totalsRowDxfId="302">
      <calculatedColumnFormula>#REF!</calculatedColumnFormula>
    </tableColumn>
    <tableColumn id="4" name="Difference" totalsRowFunction="sum" dataDxfId="301" totalsRowDxfId="300">
      <calculatedColumnFormula>Table519435567799110326[Projected Cost]-Table519435567799110326[Actual Cost]</calculatedColumnFormula>
    </tableColumn>
  </tableColumns>
  <tableStyleInfo name="TableStyleMedium23" showFirstColumn="0" showLastColumn="0" showRowStripes="1" showColumnStripes="0"/>
</table>
</file>

<file path=xl/tables/table39.xml><?xml version="1.0" encoding="utf-8"?>
<table xmlns="http://schemas.openxmlformats.org/spreadsheetml/2006/main" id="26" name="Table321455769819310527" displayName="Table321455769819310527" ref="B27:E33" totalsRowCount="1" headerRowDxfId="299" dataDxfId="298" totalsRowDxfId="296" tableBorderDxfId="297">
  <autoFilter ref="B27:E32"/>
  <tableColumns count="4">
    <tableColumn id="1" name="TRANSPORTATION" totalsRowLabel="Total" dataDxfId="295" totalsRowDxfId="294"/>
    <tableColumn id="2" name="Projected Cost" totalsRowFunction="sum" dataDxfId="293" totalsRowDxfId="292"/>
    <tableColumn id="3" name="Actual Cost" totalsRowFunction="sum" dataDxfId="291" totalsRowDxfId="290">
      <calculatedColumnFormula>#REF!</calculatedColumnFormula>
    </tableColumn>
    <tableColumn id="4" name="Difference" totalsRowFunction="sum" dataDxfId="289" totalsRowDxfId="288">
      <calculatedColumnFormula>Table321455769819310527[Projected Cost]-Table321455769819310527[Actual Cost]</calculatedColumnFormula>
    </tableColumn>
  </tableColumns>
  <tableStyleInfo name="TableStyleMedium23" showFirstColumn="0" showLastColumn="0" showRowStripes="1" showColumnStripes="0"/>
</table>
</file>

<file path=xl/tables/table4.xml><?xml version="1.0" encoding="utf-8"?>
<table xmlns="http://schemas.openxmlformats.org/spreadsheetml/2006/main" id="61" name="Table321455769819310562" displayName="Table321455769819310562" ref="B27:E33" totalsRowCount="1" headerRowDxfId="719" dataDxfId="718" totalsRowDxfId="716" tableBorderDxfId="717">
  <autoFilter ref="B27:E32"/>
  <tableColumns count="4">
    <tableColumn id="1" name="TRANSPORTATION" totalsRowLabel="Total" dataDxfId="715" totalsRowDxfId="714"/>
    <tableColumn id="2" name="Projected Cost" totalsRowFunction="sum" dataDxfId="713" totalsRowDxfId="712">
      <calculatedColumnFormula>Table3214557698193105[[#This Row],[Projected Cost]]+Table32145576981931056[[#This Row],[Projected Cost]]+Table3214557698193105613[[#This Row],[Projected Cost]]+Table321455769819310561320[[#This Row],[Projected Cost]]+Table321455769819310527[[#This Row],[Projected Cost]]+Table32145576981931056132034[[#This Row],[Projected Cost]]+Table3214557698193105613203441[[#This Row],[Projected Cost]]+Table321455769819310561320344148[[#This Row],[Projected Cost]]</calculatedColumnFormula>
    </tableColumn>
    <tableColumn id="3" name="Actual Cost" totalsRowFunction="sum" dataDxfId="711" totalsRowDxfId="710">
      <calculatedColumnFormula>Table3214557698193105[[#This Row],[Actual Cost]]+Table32145576981931056[[#This Row],[Actual Cost]]+Table3214557698193105613[[#This Row],[Actual Cost]]+Table321455769819310561320[[#This Row],[Actual Cost]]+Table321455769819310527[[#This Row],[Actual Cost]]+Table32145576981931056132034[[#This Row],[Actual Cost]]+Table3214557698193105613203441[[#This Row],[Actual Cost]]+Table321455769819310561320344148[[#This Row],[Actual Cost]]</calculatedColumnFormula>
    </tableColumn>
    <tableColumn id="4" name="Difference" totalsRowFunction="sum" dataDxfId="709" totalsRowDxfId="708">
      <calculatedColumnFormula>Table321455769819310562[Projected Cost]-Table321455769819310562[Actual Cost]</calculatedColumnFormula>
    </tableColumn>
  </tableColumns>
  <tableStyleInfo name="TableStyleMedium23" showFirstColumn="0" showLastColumn="0" showRowStripes="1" showColumnStripes="0"/>
</table>
</file>

<file path=xl/tables/table40.xml><?xml version="1.0" encoding="utf-8"?>
<table xmlns="http://schemas.openxmlformats.org/spreadsheetml/2006/main" id="27" name="Table724486072849610828" displayName="Table724486072849610828" ref="B45:E51" totalsRowCount="1" headerRowDxfId="287" dataDxfId="286" totalsRowDxfId="284" tableBorderDxfId="285">
  <autoFilter ref="B45:E50"/>
  <tableColumns count="4">
    <tableColumn id="1" name="PERSONAL CARE" totalsRowLabel="Total" dataDxfId="283" totalsRowDxfId="282"/>
    <tableColumn id="2" name="Projected Cost" totalsRowFunction="sum" dataDxfId="281" totalsRowDxfId="280"/>
    <tableColumn id="3" name="Actual Cost" totalsRowFunction="sum" dataDxfId="279" totalsRowDxfId="278">
      <calculatedColumnFormula>#REF!</calculatedColumnFormula>
    </tableColumn>
    <tableColumn id="4" name="Difference" totalsRowFunction="sum" dataDxfId="277" totalsRowDxfId="276">
      <calculatedColumnFormula>Table724486072849610828[Projected Cost]-Table724486072849610828[Actual Cost]</calculatedColumnFormula>
    </tableColumn>
  </tableColumns>
  <tableStyleInfo name="TableStyleMedium23" showFirstColumn="0" showLastColumn="0" showRowStripes="1" showColumnStripes="0"/>
</table>
</file>

<file path=xl/tables/table41.xml><?xml version="1.0" encoding="utf-8"?>
<table xmlns="http://schemas.openxmlformats.org/spreadsheetml/2006/main" id="28" name="Table225496173859710929" displayName="Table225496173859710929" ref="B53:E59" totalsRowCount="1" headerRowDxfId="275" dataDxfId="274" totalsRowDxfId="272" tableBorderDxfId="273">
  <autoFilter ref="B53:E58"/>
  <tableColumns count="4">
    <tableColumn id="1" name="ENTERTAINMENT" totalsRowLabel="Total" dataDxfId="271" totalsRowDxfId="270"/>
    <tableColumn id="2" name="Projected Cost" totalsRowFunction="sum" dataDxfId="269" totalsRowDxfId="268"/>
    <tableColumn id="3" name="Actual Cost" totalsRowFunction="sum" dataDxfId="267" totalsRowDxfId="266"/>
    <tableColumn id="4" name="Difference" totalsRowFunction="sum" dataDxfId="265" totalsRowDxfId="264">
      <calculatedColumnFormula>Table225496173859710929[Projected Cost]-Table225496173859710929[Actual Cost]</calculatedColumnFormula>
    </tableColumn>
  </tableColumns>
  <tableStyleInfo name="TableStyleMedium23" showFirstColumn="0" showLastColumn="0" showRowStripes="1" showColumnStripes="0"/>
</table>
</file>

<file path=xl/tables/table42.xml><?xml version="1.0" encoding="utf-8"?>
<table xmlns="http://schemas.openxmlformats.org/spreadsheetml/2006/main" id="29" name="Table114385062748698230" displayName="Table114385062748698230" ref="B11:E17" totalsRowCount="1" headerRowDxfId="263" dataDxfId="262" totalsRowDxfId="260" tableBorderDxfId="261">
  <autoFilter ref="B11:E16"/>
  <tableColumns count="4">
    <tableColumn id="1" name="SCHOOL" totalsRowLabel="Total" dataDxfId="259" totalsRowDxfId="258"/>
    <tableColumn id="2" name="Projected Cost" totalsRowFunction="sum" dataDxfId="257" totalsRowDxfId="256"/>
    <tableColumn id="3" name="Actual Cost" totalsRowFunction="sum" dataDxfId="255" totalsRowDxfId="254"/>
    <tableColumn id="4" name="Difference" totalsRowFunction="sum" dataDxfId="253" totalsRowDxfId="252">
      <calculatedColumnFormula>Table114385062748698230[Projected Cost]-Table114385062748698230[Actual Cost]</calculatedColumnFormula>
    </tableColumn>
  </tableColumns>
  <tableStyleInfo name="TableStyleMedium23" showFirstColumn="0" showLastColumn="0" showRowStripes="1" showColumnStripes="0"/>
</table>
</file>

<file path=xl/tables/table43.xml><?xml version="1.0" encoding="utf-8"?>
<table xmlns="http://schemas.openxmlformats.org/spreadsheetml/2006/main" id="30" name="Table1143850627486983101731" displayName="Table1143850627486983101731" ref="B19:E25" totalsRowCount="1" headerRowDxfId="251" dataDxfId="250" totalsRowDxfId="248" tableBorderDxfId="249">
  <autoFilter ref="B19:E24"/>
  <tableColumns count="4">
    <tableColumn id="1" name="HOUSING" totalsRowLabel="Total" dataDxfId="247" totalsRowDxfId="246"/>
    <tableColumn id="2" name="Projected Cost" totalsRowFunction="sum" dataDxfId="245" totalsRowDxfId="244"/>
    <tableColumn id="3" name="Actual Cost" totalsRowFunction="sum" dataDxfId="243" totalsRowDxfId="242"/>
    <tableColumn id="4" name="Difference" totalsRowFunction="sum" dataDxfId="241" totalsRowDxfId="240">
      <calculatedColumnFormula>Table1143850627486983101731[Projected Cost]-Table1143850627486983101731[Actual Cost]</calculatedColumnFormula>
    </tableColumn>
  </tableColumns>
  <tableStyleInfo name="TableStyleMedium23" showFirstColumn="0" showLastColumn="0" showRowStripes="1" showColumnStripes="0"/>
</table>
</file>

<file path=xl/tables/table44.xml><?xml version="1.0" encoding="utf-8"?>
<table xmlns="http://schemas.openxmlformats.org/spreadsheetml/2006/main" id="31" name="Table4153951637587994111832" displayName="Table4153951637587994111832" ref="B35:E37" totalsRowCount="1" headerRowDxfId="239" dataDxfId="238" totalsRowDxfId="236" tableBorderDxfId="237">
  <autoFilter ref="B35:E36"/>
  <tableColumns count="4">
    <tableColumn id="1" name="INSURANCE" totalsRowLabel="Total" dataDxfId="235" totalsRowDxfId="234"/>
    <tableColumn id="2" name="Projected Cost" totalsRowFunction="sum" dataDxfId="233" totalsRowDxfId="232"/>
    <tableColumn id="3" name="Actual Cost" totalsRowFunction="sum" dataDxfId="231" totalsRowDxfId="230">
      <calculatedColumnFormula>L46</calculatedColumnFormula>
    </tableColumn>
    <tableColumn id="4" name="Difference" totalsRowFunction="sum" dataDxfId="229" totalsRowDxfId="228">
      <calculatedColumnFormula>Table4153951637587994111832[Projected Cost]-Table4153951637587994111832[Actual Cost]</calculatedColumnFormula>
    </tableColumn>
  </tableColumns>
  <tableStyleInfo name="TableStyleMedium23" showFirstColumn="0" showLastColumn="0" showRowStripes="1" showColumnStripes="0"/>
</table>
</file>

<file path=xl/tables/table45.xml><?xml version="1.0" encoding="utf-8"?>
<table xmlns="http://schemas.openxmlformats.org/spreadsheetml/2006/main" id="32" name="Table51943556779911035121933" displayName="Table51943556779911035121933" ref="B39:E43" totalsRowCount="1" headerRowDxfId="227" dataDxfId="226" totalsRowDxfId="224" tableBorderDxfId="225">
  <autoFilter ref="B39:E42"/>
  <tableColumns count="4">
    <tableColumn id="1" name="FOOD" totalsRowLabel="Total" dataDxfId="223" totalsRowDxfId="222"/>
    <tableColumn id="2" name="Projected Cost" totalsRowFunction="sum" dataDxfId="221" totalsRowDxfId="220"/>
    <tableColumn id="3" name="Actual Cost" totalsRowFunction="sum" dataDxfId="219" totalsRowDxfId="218">
      <calculatedColumnFormula>#REF!</calculatedColumnFormula>
    </tableColumn>
    <tableColumn id="4" name="Difference" totalsRowFunction="sum" dataDxfId="217" totalsRowDxfId="216">
      <calculatedColumnFormula>Table51943556779911035121933[Projected Cost]-Table51943556779911035121933[Actual Cost]</calculatedColumnFormula>
    </tableColumn>
  </tableColumns>
  <tableStyleInfo name="TableStyleMedium23" showFirstColumn="0" showLastColumn="0" showRowStripes="1" showColumnStripes="0"/>
</table>
</file>

<file path=xl/tables/table46.xml><?xml version="1.0" encoding="utf-8"?>
<table xmlns="http://schemas.openxmlformats.org/spreadsheetml/2006/main" id="33" name="Table32145576981931056132034" displayName="Table32145576981931056132034" ref="B27:E33" totalsRowCount="1" headerRowDxfId="215" dataDxfId="214" totalsRowDxfId="212" tableBorderDxfId="213">
  <autoFilter ref="B27:E32"/>
  <tableColumns count="4">
    <tableColumn id="1" name="TRANSPORTATION" totalsRowLabel="Total" dataDxfId="211" totalsRowDxfId="210"/>
    <tableColumn id="2" name="Projected Cost" totalsRowFunction="sum" dataDxfId="209" totalsRowDxfId="208"/>
    <tableColumn id="3" name="Actual Cost" totalsRowFunction="sum" dataDxfId="207" totalsRowDxfId="206">
      <calculatedColumnFormula>#REF!</calculatedColumnFormula>
    </tableColumn>
    <tableColumn id="4" name="Difference" totalsRowFunction="sum" dataDxfId="205" totalsRowDxfId="204">
      <calculatedColumnFormula>Table32145576981931056132034[Projected Cost]-Table32145576981931056132034[Actual Cost]</calculatedColumnFormula>
    </tableColumn>
  </tableColumns>
  <tableStyleInfo name="TableStyleMedium23" showFirstColumn="0" showLastColumn="0" showRowStripes="1" showColumnStripes="0"/>
</table>
</file>

<file path=xl/tables/table47.xml><?xml version="1.0" encoding="utf-8"?>
<table xmlns="http://schemas.openxmlformats.org/spreadsheetml/2006/main" id="34" name="Table72448607284961087142135" displayName="Table72448607284961087142135" ref="B45:E51" totalsRowCount="1" headerRowDxfId="203" dataDxfId="202" totalsRowDxfId="200" tableBorderDxfId="201">
  <autoFilter ref="B45:E50"/>
  <tableColumns count="4">
    <tableColumn id="1" name="PERSONAL CARE" totalsRowLabel="Total" dataDxfId="199" totalsRowDxfId="198"/>
    <tableColumn id="2" name="Projected Cost" totalsRowFunction="sum" dataDxfId="197" totalsRowDxfId="196"/>
    <tableColumn id="3" name="Actual Cost" totalsRowFunction="sum" dataDxfId="195" totalsRowDxfId="194">
      <calculatedColumnFormula>#REF!</calculatedColumnFormula>
    </tableColumn>
    <tableColumn id="4" name="Difference" totalsRowFunction="sum" dataDxfId="193" totalsRowDxfId="192">
      <calculatedColumnFormula>Table72448607284961087142135[Projected Cost]-Table72448607284961087142135[Actual Cost]</calculatedColumnFormula>
    </tableColumn>
  </tableColumns>
  <tableStyleInfo name="TableStyleMedium23" showFirstColumn="0" showLastColumn="0" showRowStripes="1" showColumnStripes="0"/>
</table>
</file>

<file path=xl/tables/table48.xml><?xml version="1.0" encoding="utf-8"?>
<table xmlns="http://schemas.openxmlformats.org/spreadsheetml/2006/main" id="35" name="Table22549617385971098152236" displayName="Table22549617385971098152236" ref="B53:E59" totalsRowCount="1" headerRowDxfId="191" dataDxfId="190" totalsRowDxfId="188" tableBorderDxfId="189">
  <autoFilter ref="B53:E58"/>
  <tableColumns count="4">
    <tableColumn id="1" name="ENTERTAINMENT" totalsRowLabel="Total" dataDxfId="187" totalsRowDxfId="186"/>
    <tableColumn id="2" name="Projected Cost" totalsRowFunction="sum" dataDxfId="185" totalsRowDxfId="184"/>
    <tableColumn id="3" name="Actual Cost" totalsRowFunction="sum" dataDxfId="183" totalsRowDxfId="182"/>
    <tableColumn id="4" name="Difference" totalsRowFunction="sum" dataDxfId="181" totalsRowDxfId="180">
      <calculatedColumnFormula>Table22549617385971098152236[Projected Cost]-Table22549617385971098152236[Actual Cost]</calculatedColumnFormula>
    </tableColumn>
  </tableColumns>
  <tableStyleInfo name="TableStyleMedium23" showFirstColumn="0" showLastColumn="0" showRowStripes="1" showColumnStripes="0"/>
</table>
</file>

<file path=xl/tables/table49.xml><?xml version="1.0" encoding="utf-8"?>
<table xmlns="http://schemas.openxmlformats.org/spreadsheetml/2006/main" id="36" name="Table11438506274869829162337" displayName="Table11438506274869829162337" ref="B11:E17" totalsRowCount="1" headerRowDxfId="179" dataDxfId="178" totalsRowDxfId="176" tableBorderDxfId="177">
  <autoFilter ref="B11:E16"/>
  <tableColumns count="4">
    <tableColumn id="1" name="SCHOOL" totalsRowLabel="Total" dataDxfId="175" totalsRowDxfId="174"/>
    <tableColumn id="2" name="Projected Cost" totalsRowFunction="sum" dataDxfId="173" totalsRowDxfId="172"/>
    <tableColumn id="3" name="Actual Cost" totalsRowFunction="sum" dataDxfId="171" totalsRowDxfId="170"/>
    <tableColumn id="4" name="Difference" totalsRowFunction="sum" dataDxfId="169" totalsRowDxfId="168">
      <calculatedColumnFormula>Table11438506274869829162337[Projected Cost]-Table11438506274869829162337[Actual Cost]</calculatedColumnFormula>
    </tableColumn>
  </tableColumns>
  <tableStyleInfo name="TableStyleMedium23" showFirstColumn="0" showLastColumn="0" showRowStripes="1" showColumnStripes="0"/>
</table>
</file>

<file path=xl/tables/table5.xml><?xml version="1.0" encoding="utf-8"?>
<table xmlns="http://schemas.openxmlformats.org/spreadsheetml/2006/main" id="62" name="Table724486072849610863" displayName="Table724486072849610863" ref="B45:E51" totalsRowCount="1" headerRowDxfId="707" dataDxfId="706" totalsRowDxfId="704" tableBorderDxfId="705">
  <autoFilter ref="B45:E50"/>
  <tableColumns count="4">
    <tableColumn id="1" name="PERSONAL CARE" totalsRowLabel="Total" dataDxfId="703" totalsRowDxfId="702"/>
    <tableColumn id="2" name="Projected Cost" totalsRowFunction="sum" dataDxfId="701" totalsRowDxfId="700">
      <calculatedColumnFormula>Table7244860728496108[[#This Row],[Projected Cost]]+Table72448607284961087[[#This Row],[Projected Cost]]+Table7244860728496108714[[#This Row],[Projected Cost]]+Table724486072849610871421[[#This Row],[Projected Cost]]+Table724486072849610828[[#This Row],[Projected Cost]]+Table72448607284961087142135[[#This Row],[Projected Cost]]+Table7244860728496108714213542[[#This Row],[Projected Cost]]+Table724486072849610871421354249[[#This Row],[Projected Cost]]</calculatedColumnFormula>
    </tableColumn>
    <tableColumn id="3" name="Actual Cost" totalsRowFunction="sum" dataDxfId="699" totalsRowDxfId="698">
      <calculatedColumnFormula>Table7244860728496108[[#This Row],[Actual Cost]]+Table72448607284961087[[#This Row],[Actual Cost]]+Table7244860728496108714[[#This Row],[Actual Cost]]+Table724486072849610871421[[#This Row],[Actual Cost]]+Table724486072849610828[[#This Row],[Actual Cost]]+Table72448607284961087142135[[#This Row],[Actual Cost]]+Table7244860728496108714213542[[#This Row],[Actual Cost]]+Table724486072849610871421354249[[#This Row],[Actual Cost]]</calculatedColumnFormula>
    </tableColumn>
    <tableColumn id="4" name="Difference" totalsRowFunction="sum" dataDxfId="697" totalsRowDxfId="696">
      <calculatedColumnFormula>Table724486072849610863[Projected Cost]-Table724486072849610863[Actual Cost]</calculatedColumnFormula>
    </tableColumn>
  </tableColumns>
  <tableStyleInfo name="TableStyleMedium23" showFirstColumn="0" showLastColumn="0" showRowStripes="1" showColumnStripes="0"/>
</table>
</file>

<file path=xl/tables/table50.xml><?xml version="1.0" encoding="utf-8"?>
<table xmlns="http://schemas.openxmlformats.org/spreadsheetml/2006/main" id="37" name="Table114385062748698310173138" displayName="Table114385062748698310173138" ref="B19:E25" totalsRowCount="1" headerRowDxfId="167" dataDxfId="166" totalsRowDxfId="164" tableBorderDxfId="165">
  <autoFilter ref="B19:E24"/>
  <tableColumns count="4">
    <tableColumn id="1" name="HOUSING" totalsRowLabel="Total" dataDxfId="163" totalsRowDxfId="162"/>
    <tableColumn id="2" name="Projected Cost" totalsRowFunction="sum" dataDxfId="161" totalsRowDxfId="160"/>
    <tableColumn id="3" name="Actual Cost" totalsRowFunction="sum" dataDxfId="159" totalsRowDxfId="158"/>
    <tableColumn id="4" name="Difference" totalsRowFunction="sum" dataDxfId="157" totalsRowDxfId="156">
      <calculatedColumnFormula>Table114385062748698310173138[Projected Cost]-Table114385062748698310173138[Actual Cost]</calculatedColumnFormula>
    </tableColumn>
  </tableColumns>
  <tableStyleInfo name="TableStyleMedium23" showFirstColumn="0" showLastColumn="0" showRowStripes="1" showColumnStripes="0"/>
</table>
</file>

<file path=xl/tables/table51.xml><?xml version="1.0" encoding="utf-8"?>
<table xmlns="http://schemas.openxmlformats.org/spreadsheetml/2006/main" id="38" name="Table415395163758799411183239" displayName="Table415395163758799411183239" ref="B35:E37" totalsRowCount="1" headerRowDxfId="155" dataDxfId="154" totalsRowDxfId="152" tableBorderDxfId="153">
  <autoFilter ref="B35:E36"/>
  <tableColumns count="4">
    <tableColumn id="1" name="INSURANCE" totalsRowLabel="Total" dataDxfId="151" totalsRowDxfId="150"/>
    <tableColumn id="2" name="Projected Cost" totalsRowFunction="sum" dataDxfId="149" totalsRowDxfId="148"/>
    <tableColumn id="3" name="Actual Cost" totalsRowFunction="sum" dataDxfId="147" totalsRowDxfId="146">
      <calculatedColumnFormula>L46</calculatedColumnFormula>
    </tableColumn>
    <tableColumn id="4" name="Difference" totalsRowFunction="sum" dataDxfId="145" totalsRowDxfId="144">
      <calculatedColumnFormula>Table415395163758799411183239[Projected Cost]-Table415395163758799411183239[Actual Cost]</calculatedColumnFormula>
    </tableColumn>
  </tableColumns>
  <tableStyleInfo name="TableStyleMedium23" showFirstColumn="0" showLastColumn="0" showRowStripes="1" showColumnStripes="0"/>
</table>
</file>

<file path=xl/tables/table52.xml><?xml version="1.0" encoding="utf-8"?>
<table xmlns="http://schemas.openxmlformats.org/spreadsheetml/2006/main" id="39" name="Table5194355677991103512193340" displayName="Table5194355677991103512193340" ref="B39:E43" totalsRowCount="1" headerRowDxfId="143" dataDxfId="142" totalsRowDxfId="140" tableBorderDxfId="141">
  <autoFilter ref="B39:E42"/>
  <tableColumns count="4">
    <tableColumn id="1" name="FOOD" totalsRowLabel="Total" dataDxfId="139" totalsRowDxfId="138"/>
    <tableColumn id="2" name="Projected Cost" totalsRowFunction="sum" dataDxfId="137" totalsRowDxfId="136"/>
    <tableColumn id="3" name="Actual Cost" totalsRowFunction="sum" dataDxfId="135" totalsRowDxfId="134">
      <calculatedColumnFormula>#REF!</calculatedColumnFormula>
    </tableColumn>
    <tableColumn id="4" name="Difference" totalsRowFunction="sum" dataDxfId="133" totalsRowDxfId="132">
      <calculatedColumnFormula>Table5194355677991103512193340[Projected Cost]-Table5194355677991103512193340[Actual Cost]</calculatedColumnFormula>
    </tableColumn>
  </tableColumns>
  <tableStyleInfo name="TableStyleMedium23" showFirstColumn="0" showLastColumn="0" showRowStripes="1" showColumnStripes="0"/>
</table>
</file>

<file path=xl/tables/table53.xml><?xml version="1.0" encoding="utf-8"?>
<table xmlns="http://schemas.openxmlformats.org/spreadsheetml/2006/main" id="40" name="Table3214557698193105613203441" displayName="Table3214557698193105613203441" ref="B27:E33" totalsRowCount="1" headerRowDxfId="131" dataDxfId="130" totalsRowDxfId="128" tableBorderDxfId="129">
  <autoFilter ref="B27:E32"/>
  <tableColumns count="4">
    <tableColumn id="1" name="TRANSPORTATION" totalsRowLabel="Total" dataDxfId="127" totalsRowDxfId="126"/>
    <tableColumn id="2" name="Projected Cost" totalsRowFunction="sum" dataDxfId="125" totalsRowDxfId="124"/>
    <tableColumn id="3" name="Actual Cost" totalsRowFunction="sum" dataDxfId="123" totalsRowDxfId="122">
      <calculatedColumnFormula>#REF!</calculatedColumnFormula>
    </tableColumn>
    <tableColumn id="4" name="Difference" totalsRowFunction="sum" dataDxfId="121" totalsRowDxfId="120">
      <calculatedColumnFormula>Table3214557698193105613203441[Projected Cost]-Table3214557698193105613203441[Actual Cost]</calculatedColumnFormula>
    </tableColumn>
  </tableColumns>
  <tableStyleInfo name="TableStyleMedium23" showFirstColumn="0" showLastColumn="0" showRowStripes="1" showColumnStripes="0"/>
</table>
</file>

<file path=xl/tables/table54.xml><?xml version="1.0" encoding="utf-8"?>
<table xmlns="http://schemas.openxmlformats.org/spreadsheetml/2006/main" id="41" name="Table7244860728496108714213542" displayName="Table7244860728496108714213542" ref="B45:E51" totalsRowCount="1" headerRowDxfId="119" dataDxfId="118" totalsRowDxfId="116" tableBorderDxfId="117">
  <autoFilter ref="B45:E50"/>
  <tableColumns count="4">
    <tableColumn id="1" name="PERSONAL CARE" totalsRowLabel="Total" dataDxfId="115" totalsRowDxfId="114"/>
    <tableColumn id="2" name="Projected Cost" totalsRowFunction="sum" dataDxfId="113" totalsRowDxfId="112"/>
    <tableColumn id="3" name="Actual Cost" totalsRowFunction="sum" dataDxfId="111" totalsRowDxfId="110">
      <calculatedColumnFormula>#REF!</calculatedColumnFormula>
    </tableColumn>
    <tableColumn id="4" name="Difference" totalsRowFunction="sum" dataDxfId="109" totalsRowDxfId="108">
      <calculatedColumnFormula>Table7244860728496108714213542[Projected Cost]-Table7244860728496108714213542[Actual Cost]</calculatedColumnFormula>
    </tableColumn>
  </tableColumns>
  <tableStyleInfo name="TableStyleMedium23" showFirstColumn="0" showLastColumn="0" showRowStripes="1" showColumnStripes="0"/>
</table>
</file>

<file path=xl/tables/table55.xml><?xml version="1.0" encoding="utf-8"?>
<table xmlns="http://schemas.openxmlformats.org/spreadsheetml/2006/main" id="42" name="Table2254961738597109815223643" displayName="Table2254961738597109815223643" ref="B53:E59" totalsRowCount="1" headerRowDxfId="107" dataDxfId="106" totalsRowDxfId="104" tableBorderDxfId="105">
  <autoFilter ref="B53:E58"/>
  <tableColumns count="4">
    <tableColumn id="1" name="ENTERTAINMENT" totalsRowLabel="Total" dataDxfId="103" totalsRowDxfId="102"/>
    <tableColumn id="2" name="Projected Cost" totalsRowFunction="sum" dataDxfId="101" totalsRowDxfId="100"/>
    <tableColumn id="3" name="Actual Cost" totalsRowFunction="sum" dataDxfId="99" totalsRowDxfId="98"/>
    <tableColumn id="4" name="Difference" totalsRowFunction="sum" dataDxfId="97" totalsRowDxfId="96">
      <calculatedColumnFormula>Table2254961738597109815223643[Projected Cost]-Table2254961738597109815223643[Actual Cost]</calculatedColumnFormula>
    </tableColumn>
  </tableColumns>
  <tableStyleInfo name="TableStyleMedium23" showFirstColumn="0" showLastColumn="0" showRowStripes="1" showColumnStripes="0"/>
</table>
</file>

<file path=xl/tables/table56.xml><?xml version="1.0" encoding="utf-8"?>
<table xmlns="http://schemas.openxmlformats.org/spreadsheetml/2006/main" id="43" name="Table1143850627486982916233744" displayName="Table1143850627486982916233744" ref="B11:E17" totalsRowCount="1" headerRowDxfId="95" dataDxfId="94" totalsRowDxfId="92" tableBorderDxfId="93">
  <autoFilter ref="B11:E16"/>
  <tableColumns count="4">
    <tableColumn id="1" name="SCHOOL" totalsRowLabel="Total" dataDxfId="91" totalsRowDxfId="90"/>
    <tableColumn id="2" name="Projected Cost" totalsRowFunction="sum" dataDxfId="89" totalsRowDxfId="88"/>
    <tableColumn id="3" name="Actual Cost" totalsRowFunction="sum" dataDxfId="87" totalsRowDxfId="86"/>
    <tableColumn id="4" name="Difference" totalsRowFunction="sum" dataDxfId="85" totalsRowDxfId="84">
      <calculatedColumnFormula>Table1143850627486982916233744[Projected Cost]-Table1143850627486982916233744[Actual Cost]</calculatedColumnFormula>
    </tableColumn>
  </tableColumns>
  <tableStyleInfo name="TableStyleMedium23" showFirstColumn="0" showLastColumn="0" showRowStripes="1" showColumnStripes="0"/>
</table>
</file>

<file path=xl/tables/table57.xml><?xml version="1.0" encoding="utf-8"?>
<table xmlns="http://schemas.openxmlformats.org/spreadsheetml/2006/main" id="44" name="Table11438506274869831017313845" displayName="Table11438506274869831017313845" ref="B19:E25" totalsRowCount="1" headerRowDxfId="83" dataDxfId="82" totalsRowDxfId="80" tableBorderDxfId="81">
  <autoFilter ref="B19:E24"/>
  <tableColumns count="4">
    <tableColumn id="1" name="HOUSING" totalsRowLabel="Total" dataDxfId="79" totalsRowDxfId="78"/>
    <tableColumn id="2" name="Projected Cost" totalsRowFunction="sum" dataDxfId="77" totalsRowDxfId="76"/>
    <tableColumn id="3" name="Actual Cost" totalsRowFunction="sum" dataDxfId="75" totalsRowDxfId="74"/>
    <tableColumn id="4" name="Difference" totalsRowFunction="sum" dataDxfId="73" totalsRowDxfId="72">
      <calculatedColumnFormula>Table11438506274869831017313845[Projected Cost]-Table11438506274869831017313845[Actual Cost]</calculatedColumnFormula>
    </tableColumn>
  </tableColumns>
  <tableStyleInfo name="TableStyleMedium23" showFirstColumn="0" showLastColumn="0" showRowStripes="1" showColumnStripes="0"/>
</table>
</file>

<file path=xl/tables/table58.xml><?xml version="1.0" encoding="utf-8"?>
<table xmlns="http://schemas.openxmlformats.org/spreadsheetml/2006/main" id="45" name="Table41539516375879941118323946" displayName="Table41539516375879941118323946" ref="B35:E37" totalsRowCount="1" headerRowDxfId="71" dataDxfId="70" totalsRowDxfId="68" tableBorderDxfId="69">
  <autoFilter ref="B35:E36"/>
  <tableColumns count="4">
    <tableColumn id="1" name="INSURANCE" totalsRowLabel="Total" dataDxfId="67" totalsRowDxfId="66"/>
    <tableColumn id="2" name="Projected Cost" totalsRowFunction="sum" dataDxfId="65" totalsRowDxfId="64"/>
    <tableColumn id="3" name="Actual Cost" totalsRowFunction="sum" dataDxfId="63" totalsRowDxfId="62">
      <calculatedColumnFormula>L46</calculatedColumnFormula>
    </tableColumn>
    <tableColumn id="4" name="Difference" totalsRowFunction="sum" dataDxfId="61" totalsRowDxfId="60">
      <calculatedColumnFormula>Table41539516375879941118323946[Projected Cost]-Table41539516375879941118323946[Actual Cost]</calculatedColumnFormula>
    </tableColumn>
  </tableColumns>
  <tableStyleInfo name="TableStyleMedium23" showFirstColumn="0" showLastColumn="0" showRowStripes="1" showColumnStripes="0"/>
</table>
</file>

<file path=xl/tables/table59.xml><?xml version="1.0" encoding="utf-8"?>
<table xmlns="http://schemas.openxmlformats.org/spreadsheetml/2006/main" id="46" name="Table519435567799110351219334047" displayName="Table519435567799110351219334047" ref="B39:E43" totalsRowCount="1" headerRowDxfId="59" dataDxfId="58" totalsRowDxfId="56" tableBorderDxfId="57">
  <autoFilter ref="B39:E42"/>
  <tableColumns count="4">
    <tableColumn id="1" name="FOOD" totalsRowLabel="Total" dataDxfId="55" totalsRowDxfId="54"/>
    <tableColumn id="2" name="Projected Cost" totalsRowFunction="sum" dataDxfId="53" totalsRowDxfId="52"/>
    <tableColumn id="3" name="Actual Cost" totalsRowFunction="sum" dataDxfId="51" totalsRowDxfId="50">
      <calculatedColumnFormula>#REF!</calculatedColumnFormula>
    </tableColumn>
    <tableColumn id="4" name="Difference" totalsRowFunction="sum" dataDxfId="49" totalsRowDxfId="48">
      <calculatedColumnFormula>Table519435567799110351219334047[Projected Cost]-Table519435567799110351219334047[Actual Cost]</calculatedColumnFormula>
    </tableColumn>
  </tableColumns>
  <tableStyleInfo name="TableStyleMedium23" showFirstColumn="0" showLastColumn="0" showRowStripes="1" showColumnStripes="0"/>
</table>
</file>

<file path=xl/tables/table6.xml><?xml version="1.0" encoding="utf-8"?>
<table xmlns="http://schemas.openxmlformats.org/spreadsheetml/2006/main" id="63" name="Table225496173859710964" displayName="Table225496173859710964" ref="B53:E59" totalsRowCount="1" headerRowDxfId="695" dataDxfId="694" totalsRowDxfId="692" tableBorderDxfId="693">
  <autoFilter ref="B53:E58"/>
  <tableColumns count="4">
    <tableColumn id="1" name="ENTERTAINMENT" totalsRowLabel="Total" dataDxfId="691" totalsRowDxfId="690"/>
    <tableColumn id="2" name="Projected Cost" totalsRowFunction="sum" dataDxfId="689" totalsRowDxfId="688">
      <calculatedColumnFormula>Table2254961738597109[[#This Row],[Projected Cost]]+Table22549617385971098[[#This Row],[Projected Cost]]+Table2254961738597109815[[#This Row],[Projected Cost]]+Table225496173859710981522[[#This Row],[Projected Cost]]+Table225496173859710929[[#This Row],[Projected Cost]]+Table22549617385971098152236[[#This Row],[Projected Cost]]+Table2254961738597109815223643[[#This Row],[Projected Cost]]+Table225496173859710981522364350[[#This Row],[Projected Cost]]</calculatedColumnFormula>
    </tableColumn>
    <tableColumn id="3" name="Actual Cost" totalsRowFunction="sum" dataDxfId="687" totalsRowDxfId="686">
      <calculatedColumnFormula>Table2254961738597109[[#This Row],[Actual Cost]]+Table22549617385971098[[#This Row],[Actual Cost]]+Table2254961738597109815[[#This Row],[Actual Cost]]+Table225496173859710981522[[#This Row],[Actual Cost]]+Table225496173859710929[[#This Row],[Actual Cost]]+Table22549617385971098152236[[#This Row],[Actual Cost]]+Table2254961738597109815223643[[#This Row],[Actual Cost]]+Table225496173859710981522364350[[#This Row],[Actual Cost]]</calculatedColumnFormula>
    </tableColumn>
    <tableColumn id="4" name="Difference" totalsRowFunction="sum" dataDxfId="685" totalsRowDxfId="684">
      <calculatedColumnFormula>Table225496173859710964[Projected Cost]-Table225496173859710964[Actual Cost]</calculatedColumnFormula>
    </tableColumn>
  </tableColumns>
  <tableStyleInfo name="TableStyleMedium23" showFirstColumn="0" showLastColumn="0" showRowStripes="1" showColumnStripes="0"/>
</table>
</file>

<file path=xl/tables/table60.xml><?xml version="1.0" encoding="utf-8"?>
<table xmlns="http://schemas.openxmlformats.org/spreadsheetml/2006/main" id="47" name="Table321455769819310561320344148" displayName="Table321455769819310561320344148" ref="B27:E33" totalsRowCount="1" headerRowDxfId="47" dataDxfId="46" totalsRowDxfId="44" tableBorderDxfId="45">
  <autoFilter ref="B27:E32"/>
  <tableColumns count="4">
    <tableColumn id="1" name="TRANSPORTATION" totalsRowLabel="Total" dataDxfId="43" totalsRowDxfId="42"/>
    <tableColumn id="2" name="Projected Cost" totalsRowFunction="sum" dataDxfId="41" totalsRowDxfId="40"/>
    <tableColumn id="3" name="Actual Cost" totalsRowFunction="sum" dataDxfId="39" totalsRowDxfId="38">
      <calculatedColumnFormula>#REF!</calculatedColumnFormula>
    </tableColumn>
    <tableColumn id="4" name="Difference" totalsRowFunction="sum" dataDxfId="37" totalsRowDxfId="36">
      <calculatedColumnFormula>Table321455769819310561320344148[Projected Cost]-Table321455769819310561320344148[Actual Cost]</calculatedColumnFormula>
    </tableColumn>
  </tableColumns>
  <tableStyleInfo name="TableStyleMedium23" showFirstColumn="0" showLastColumn="0" showRowStripes="1" showColumnStripes="0"/>
</table>
</file>

<file path=xl/tables/table61.xml><?xml version="1.0" encoding="utf-8"?>
<table xmlns="http://schemas.openxmlformats.org/spreadsheetml/2006/main" id="48" name="Table724486072849610871421354249" displayName="Table724486072849610871421354249" ref="B45:E51" totalsRowCount="1" headerRowDxfId="35" dataDxfId="34" totalsRowDxfId="32" tableBorderDxfId="33">
  <autoFilter ref="B45:E50"/>
  <tableColumns count="4">
    <tableColumn id="1" name="PERSONAL CARE" totalsRowLabel="Total" dataDxfId="31" totalsRowDxfId="30"/>
    <tableColumn id="2" name="Projected Cost" totalsRowFunction="sum" dataDxfId="29" totalsRowDxfId="28"/>
    <tableColumn id="3" name="Actual Cost" totalsRowFunction="sum" dataDxfId="27" totalsRowDxfId="26">
      <calculatedColumnFormula>#REF!</calculatedColumnFormula>
    </tableColumn>
    <tableColumn id="4" name="Difference" totalsRowFunction="sum" dataDxfId="25" totalsRowDxfId="24">
      <calculatedColumnFormula>Table724486072849610871421354249[Projected Cost]-Table724486072849610871421354249[Actual Cost]</calculatedColumnFormula>
    </tableColumn>
  </tableColumns>
  <tableStyleInfo name="TableStyleMedium23" showFirstColumn="0" showLastColumn="0" showRowStripes="1" showColumnStripes="0"/>
</table>
</file>

<file path=xl/tables/table62.xml><?xml version="1.0" encoding="utf-8"?>
<table xmlns="http://schemas.openxmlformats.org/spreadsheetml/2006/main" id="49" name="Table225496173859710981522364350" displayName="Table225496173859710981522364350" ref="B53:E59" totalsRowCount="1" headerRowDxfId="23" dataDxfId="22" totalsRowDxfId="20" tableBorderDxfId="21">
  <autoFilter ref="B53:E58"/>
  <tableColumns count="4">
    <tableColumn id="1" name="ENTERTAINMENT" totalsRowLabel="Total" dataDxfId="19" totalsRowDxfId="18"/>
    <tableColumn id="2" name="Projected Cost" totalsRowFunction="sum" dataDxfId="17" totalsRowDxfId="16"/>
    <tableColumn id="3" name="Actual Cost" totalsRowFunction="sum" dataDxfId="15" totalsRowDxfId="14"/>
    <tableColumn id="4" name="Difference" totalsRowFunction="sum" dataDxfId="13" totalsRowDxfId="12">
      <calculatedColumnFormula>Table225496173859710981522364350[Projected Cost]-Table225496173859710981522364350[Actual Cost]</calculatedColumnFormula>
    </tableColumn>
  </tableColumns>
  <tableStyleInfo name="TableStyleMedium23" showFirstColumn="0" showLastColumn="0" showRowStripes="1" showColumnStripes="0"/>
</table>
</file>

<file path=xl/tables/table63.xml><?xml version="1.0" encoding="utf-8"?>
<table xmlns="http://schemas.openxmlformats.org/spreadsheetml/2006/main" id="50" name="Table114385062748698291623374451" displayName="Table114385062748698291623374451" ref="B11:E17" totalsRowCount="1" headerRowDxfId="11" dataDxfId="10" totalsRowDxfId="8" tableBorderDxfId="9">
  <autoFilter ref="B11:E16"/>
  <tableColumns count="4">
    <tableColumn id="1" name="SCHOOL" totalsRowLabel="Total" dataDxfId="7" totalsRowDxfId="6"/>
    <tableColumn id="2" name="Projected Cost" totalsRowFunction="sum" dataDxfId="5" totalsRowDxfId="4"/>
    <tableColumn id="3" name="Actual Cost" totalsRowFunction="sum" dataDxfId="3" totalsRowDxfId="2"/>
    <tableColumn id="4" name="Difference" totalsRowFunction="sum" dataDxfId="1" totalsRowDxfId="0">
      <calculatedColumnFormula>Table114385062748698291623374451[Projected Cost]-Table114385062748698291623374451[Actual Cost]</calculatedColumnFormula>
    </tableColumn>
  </tableColumns>
  <tableStyleInfo name="TableStyleMedium23" showFirstColumn="0" showLastColumn="0" showRowStripes="1" showColumnStripes="0"/>
</table>
</file>

<file path=xl/tables/table7.xml><?xml version="1.0" encoding="utf-8"?>
<table xmlns="http://schemas.openxmlformats.org/spreadsheetml/2006/main" id="64" name="Table114385062748698265" displayName="Table114385062748698265" ref="B11:E17" totalsRowCount="1" headerRowDxfId="683" dataDxfId="682" totalsRowDxfId="680" tableBorderDxfId="681">
  <autoFilter ref="B11:E16"/>
  <tableColumns count="4">
    <tableColumn id="1" name="SCHOOL" totalsRowLabel="Total" dataDxfId="679" totalsRowDxfId="678"/>
    <tableColumn id="2" name="Projected Cost" totalsRowFunction="sum" dataDxfId="677" totalsRowDxfId="676"/>
    <tableColumn id="3" name="Actual Cost" totalsRowFunction="sum" dataDxfId="675" totalsRowDxfId="674">
      <calculatedColumnFormula>Table1143850627486982[[#This Row],[Actual Cost]]+Table11438506274869829[[#This Row],[Actual Cost]]+Table1143850627486982916[[#This Row],[Actual Cost]]+Table114385062748698291623[[#This Row],[Actual Cost]]+Table114385062748698230[[#This Row],[Actual Cost]]+Table11438506274869829162337[[#This Row],[Actual Cost]]+Table1143850627486982916233744[[#This Row],[Actual Cost]]+Table114385062748698291623374451[[#This Row],[Actual Cost]]</calculatedColumnFormula>
    </tableColumn>
    <tableColumn id="4" name="Difference" totalsRowFunction="sum" dataDxfId="673" totalsRowDxfId="672">
      <calculatedColumnFormula>Table114385062748698265[Projected Cost]-Table114385062748698265[Actual Cost]</calculatedColumnFormula>
    </tableColumn>
  </tableColumns>
  <tableStyleInfo name="TableStyleMedium23" showFirstColumn="0" showLastColumn="0" showRowStripes="1" showColumnStripes="0"/>
</table>
</file>

<file path=xl/tables/table8.xml><?xml version="1.0" encoding="utf-8"?>
<table xmlns="http://schemas.openxmlformats.org/spreadsheetml/2006/main" id="97" name="Table114385062748698" displayName="Table114385062748698" ref="B19:E25" totalsRowCount="1" headerRowDxfId="671" dataDxfId="670" totalsRowDxfId="668" tableBorderDxfId="669">
  <autoFilter ref="B19:E24"/>
  <tableColumns count="4">
    <tableColumn id="1" name="HOUSING" totalsRowLabel="Total" dataDxfId="667" totalsRowDxfId="666"/>
    <tableColumn id="2" name="Projected Cost" totalsRowFunction="sum" dataDxfId="665" totalsRowDxfId="664"/>
    <tableColumn id="3" name="Actual Cost" totalsRowFunction="sum" dataDxfId="663" totalsRowDxfId="662"/>
    <tableColumn id="4" name="Difference" totalsRowFunction="sum" dataDxfId="661" totalsRowDxfId="660">
      <calculatedColumnFormula>Table114385062748698[Projected Cost]-Table114385062748698[Actual Cost]</calculatedColumnFormula>
    </tableColumn>
  </tableColumns>
  <tableStyleInfo name="TableStyleMedium23" showFirstColumn="0" showLastColumn="0" showRowStripes="1" showColumnStripes="0"/>
</table>
</file>

<file path=xl/tables/table9.xml><?xml version="1.0" encoding="utf-8"?>
<table xmlns="http://schemas.openxmlformats.org/spreadsheetml/2006/main" id="98" name="Table415395163758799" displayName="Table415395163758799" ref="B35:E37" totalsRowCount="1" headerRowDxfId="659" dataDxfId="658" totalsRowDxfId="656" tableBorderDxfId="657">
  <autoFilter ref="B35:E36"/>
  <tableColumns count="4">
    <tableColumn id="1" name="INSURANCE" totalsRowLabel="Total" dataDxfId="655" totalsRowDxfId="654"/>
    <tableColumn id="2" name="Projected Cost" totalsRowFunction="sum" dataDxfId="653" totalsRowDxfId="652"/>
    <tableColumn id="3" name="Actual Cost" totalsRowFunction="sum" dataDxfId="651" totalsRowDxfId="650">
      <calculatedColumnFormula>L46</calculatedColumnFormula>
    </tableColumn>
    <tableColumn id="4" name="Difference" totalsRowFunction="sum" dataDxfId="649" totalsRowDxfId="648">
      <calculatedColumnFormula>Table415395163758799[Projected Cost]-Table415395163758799[Actual Cost]</calculatedColumnFormula>
    </tableColumn>
  </tableColumns>
  <tableStyleInfo name="TableStyleMedium2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cholartree.ca/" TargetMode="External"/></Relationships>
</file>

<file path=xl/worksheets/_rels/sheet10.xml.rels><?xml version="1.0" encoding="UTF-8" standalone="yes"?>
<Relationships xmlns="http://schemas.openxmlformats.org/package/2006/relationships"><Relationship Id="rId8" Type="http://schemas.openxmlformats.org/officeDocument/2006/relationships/table" Target="../tables/table62.xml"/><Relationship Id="rId3" Type="http://schemas.openxmlformats.org/officeDocument/2006/relationships/table" Target="../tables/table57.xml"/><Relationship Id="rId7" Type="http://schemas.openxmlformats.org/officeDocument/2006/relationships/table" Target="../tables/table61.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table" Target="../tables/table60.xml"/><Relationship Id="rId5" Type="http://schemas.openxmlformats.org/officeDocument/2006/relationships/table" Target="../tables/table59.xml"/><Relationship Id="rId4" Type="http://schemas.openxmlformats.org/officeDocument/2006/relationships/table" Target="../tables/table58.xml"/><Relationship Id="rId9" Type="http://schemas.openxmlformats.org/officeDocument/2006/relationships/table" Target="../tables/table63.xml"/></Relationships>
</file>

<file path=xl/worksheets/_rels/sheet2.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 Id="rId9" Type="http://schemas.openxmlformats.org/officeDocument/2006/relationships/table" Target="../tables/table7.xml"/></Relationships>
</file>

<file path=xl/worksheets/_rels/sheet3.xml.rels><?xml version="1.0" encoding="UTF-8" standalone="yes"?>
<Relationships xmlns="http://schemas.openxmlformats.org/package/2006/relationships"><Relationship Id="rId8" Type="http://schemas.openxmlformats.org/officeDocument/2006/relationships/table" Target="../tables/table13.xml"/><Relationship Id="rId3" Type="http://schemas.openxmlformats.org/officeDocument/2006/relationships/table" Target="../tables/table8.xml"/><Relationship Id="rId7" Type="http://schemas.openxmlformats.org/officeDocument/2006/relationships/table" Target="../tables/table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 Id="rId9" Type="http://schemas.openxmlformats.org/officeDocument/2006/relationships/table" Target="../tables/table14.xml"/></Relationships>
</file>

<file path=xl/worksheets/_rels/sheet4.xml.rels><?xml version="1.0" encoding="UTF-8" standalone="yes"?>
<Relationships xmlns="http://schemas.openxmlformats.org/package/2006/relationships"><Relationship Id="rId8" Type="http://schemas.openxmlformats.org/officeDocument/2006/relationships/table" Target="../tables/table20.xml"/><Relationship Id="rId3" Type="http://schemas.openxmlformats.org/officeDocument/2006/relationships/table" Target="../tables/table15.xml"/><Relationship Id="rId7" Type="http://schemas.openxmlformats.org/officeDocument/2006/relationships/table" Target="../tables/table19.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 Id="rId9" Type="http://schemas.openxmlformats.org/officeDocument/2006/relationships/table" Target="../tables/table21.xml"/></Relationships>
</file>

<file path=xl/worksheets/_rels/sheet5.xml.rels><?xml version="1.0" encoding="UTF-8" standalone="yes"?>
<Relationships xmlns="http://schemas.openxmlformats.org/package/2006/relationships"><Relationship Id="rId8" Type="http://schemas.openxmlformats.org/officeDocument/2006/relationships/table" Target="../tables/table27.xml"/><Relationship Id="rId3" Type="http://schemas.openxmlformats.org/officeDocument/2006/relationships/table" Target="../tables/table22.xml"/><Relationship Id="rId7" Type="http://schemas.openxmlformats.org/officeDocument/2006/relationships/table" Target="../tables/table26.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25.xml"/><Relationship Id="rId5" Type="http://schemas.openxmlformats.org/officeDocument/2006/relationships/table" Target="../tables/table24.xml"/><Relationship Id="rId4" Type="http://schemas.openxmlformats.org/officeDocument/2006/relationships/table" Target="../tables/table23.xml"/><Relationship Id="rId9" Type="http://schemas.openxmlformats.org/officeDocument/2006/relationships/table" Target="../tables/table28.xml"/></Relationships>
</file>

<file path=xl/worksheets/_rels/sheet6.xml.rels><?xml version="1.0" encoding="UTF-8" standalone="yes"?>
<Relationships xmlns="http://schemas.openxmlformats.org/package/2006/relationships"><Relationship Id="rId8" Type="http://schemas.openxmlformats.org/officeDocument/2006/relationships/table" Target="../tables/table34.xml"/><Relationship Id="rId3" Type="http://schemas.openxmlformats.org/officeDocument/2006/relationships/table" Target="../tables/table29.xml"/><Relationship Id="rId7" Type="http://schemas.openxmlformats.org/officeDocument/2006/relationships/table" Target="../tables/table33.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32.xml"/><Relationship Id="rId5" Type="http://schemas.openxmlformats.org/officeDocument/2006/relationships/table" Target="../tables/table31.xml"/><Relationship Id="rId4" Type="http://schemas.openxmlformats.org/officeDocument/2006/relationships/table" Target="../tables/table30.xml"/><Relationship Id="rId9" Type="http://schemas.openxmlformats.org/officeDocument/2006/relationships/table" Target="../tables/table35.xml"/></Relationships>
</file>

<file path=xl/worksheets/_rels/sheet7.xml.rels><?xml version="1.0" encoding="UTF-8" standalone="yes"?>
<Relationships xmlns="http://schemas.openxmlformats.org/package/2006/relationships"><Relationship Id="rId8" Type="http://schemas.openxmlformats.org/officeDocument/2006/relationships/table" Target="../tables/table41.xml"/><Relationship Id="rId3" Type="http://schemas.openxmlformats.org/officeDocument/2006/relationships/table" Target="../tables/table36.xml"/><Relationship Id="rId7" Type="http://schemas.openxmlformats.org/officeDocument/2006/relationships/table" Target="../tables/table40.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table" Target="../tables/table39.xml"/><Relationship Id="rId5" Type="http://schemas.openxmlformats.org/officeDocument/2006/relationships/table" Target="../tables/table38.xml"/><Relationship Id="rId4" Type="http://schemas.openxmlformats.org/officeDocument/2006/relationships/table" Target="../tables/table37.xml"/><Relationship Id="rId9" Type="http://schemas.openxmlformats.org/officeDocument/2006/relationships/table" Target="../tables/table42.xml"/></Relationships>
</file>

<file path=xl/worksheets/_rels/sheet8.xml.rels><?xml version="1.0" encoding="UTF-8" standalone="yes"?>
<Relationships xmlns="http://schemas.openxmlformats.org/package/2006/relationships"><Relationship Id="rId8" Type="http://schemas.openxmlformats.org/officeDocument/2006/relationships/table" Target="../tables/table48.xml"/><Relationship Id="rId3" Type="http://schemas.openxmlformats.org/officeDocument/2006/relationships/table" Target="../tables/table43.xml"/><Relationship Id="rId7" Type="http://schemas.openxmlformats.org/officeDocument/2006/relationships/table" Target="../tables/table47.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46.xml"/><Relationship Id="rId5" Type="http://schemas.openxmlformats.org/officeDocument/2006/relationships/table" Target="../tables/table45.xml"/><Relationship Id="rId4" Type="http://schemas.openxmlformats.org/officeDocument/2006/relationships/table" Target="../tables/table44.xml"/><Relationship Id="rId9" Type="http://schemas.openxmlformats.org/officeDocument/2006/relationships/table" Target="../tables/table49.xml"/></Relationships>
</file>

<file path=xl/worksheets/_rels/sheet9.xml.rels><?xml version="1.0" encoding="UTF-8" standalone="yes"?>
<Relationships xmlns="http://schemas.openxmlformats.org/package/2006/relationships"><Relationship Id="rId8" Type="http://schemas.openxmlformats.org/officeDocument/2006/relationships/table" Target="../tables/table55.xml"/><Relationship Id="rId3" Type="http://schemas.openxmlformats.org/officeDocument/2006/relationships/table" Target="../tables/table50.xml"/><Relationship Id="rId7" Type="http://schemas.openxmlformats.org/officeDocument/2006/relationships/table" Target="../tables/table54.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53.xml"/><Relationship Id="rId5" Type="http://schemas.openxmlformats.org/officeDocument/2006/relationships/table" Target="../tables/table52.xml"/><Relationship Id="rId4" Type="http://schemas.openxmlformats.org/officeDocument/2006/relationships/table" Target="../tables/table51.xml"/><Relationship Id="rId9" Type="http://schemas.openxmlformats.org/officeDocument/2006/relationships/table" Target="../tables/table5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tabSelected="1" zoomScale="125" zoomScaleNormal="100" workbookViewId="0">
      <pane ySplit="4" topLeftCell="A5" activePane="bottomLeft" state="frozen"/>
      <selection pane="bottomLeft" activeCell="I33" sqref="I33"/>
    </sheetView>
  </sheetViews>
  <sheetFormatPr defaultColWidth="8.7109375" defaultRowHeight="12.75" x14ac:dyDescent="0.2"/>
  <cols>
    <col min="1" max="4" width="8.7109375" style="42"/>
    <col min="5" max="5" width="10" style="42" bestFit="1" customWidth="1"/>
    <col min="6" max="8" width="8.7109375" style="42"/>
    <col min="9" max="9" width="12.28515625" style="42" bestFit="1" customWidth="1"/>
    <col min="10" max="18" width="8.7109375" style="42"/>
    <col min="19" max="19" width="12.28515625" style="42" hidden="1" customWidth="1"/>
    <col min="20" max="16384" width="8.7109375" style="42"/>
  </cols>
  <sheetData>
    <row r="1" spans="1:19" ht="25.9" customHeight="1" x14ac:dyDescent="0.2">
      <c r="A1" s="95" t="s">
        <v>108</v>
      </c>
      <c r="B1" s="95"/>
      <c r="C1" s="95"/>
      <c r="D1" s="95"/>
      <c r="E1" s="95"/>
      <c r="F1" s="95"/>
      <c r="G1" s="95"/>
    </row>
    <row r="2" spans="1:19" ht="13.9" customHeight="1" x14ac:dyDescent="0.2">
      <c r="A2" s="95"/>
      <c r="B2" s="95"/>
      <c r="C2" s="95"/>
      <c r="D2" s="95"/>
      <c r="E2" s="95"/>
      <c r="F2" s="95"/>
      <c r="G2" s="95"/>
      <c r="S2" s="42" t="s">
        <v>88</v>
      </c>
    </row>
    <row r="3" spans="1:19" ht="13.9" customHeight="1" x14ac:dyDescent="0.2">
      <c r="A3" s="96" t="s">
        <v>105</v>
      </c>
      <c r="B3" s="78"/>
      <c r="C3" s="78"/>
      <c r="D3" s="97" t="s">
        <v>111</v>
      </c>
      <c r="E3" s="95"/>
      <c r="F3" s="95"/>
      <c r="G3" s="78"/>
      <c r="S3" s="42" t="s">
        <v>89</v>
      </c>
    </row>
    <row r="4" spans="1:19" ht="13.9" customHeight="1" x14ac:dyDescent="0.2">
      <c r="A4" s="96"/>
      <c r="B4" s="78"/>
      <c r="C4" s="78"/>
      <c r="D4" s="95"/>
      <c r="E4" s="95"/>
      <c r="F4" s="95"/>
      <c r="G4" s="78"/>
      <c r="S4" s="42" t="s">
        <v>90</v>
      </c>
    </row>
    <row r="5" spans="1:19" x14ac:dyDescent="0.2">
      <c r="A5" s="82" t="s">
        <v>98</v>
      </c>
      <c r="B5" s="82"/>
      <c r="C5" s="82"/>
      <c r="D5" s="82"/>
      <c r="E5" s="82"/>
      <c r="F5" s="82"/>
      <c r="G5" s="82"/>
      <c r="H5" s="82"/>
      <c r="I5" s="82"/>
    </row>
    <row r="6" spans="1:19" x14ac:dyDescent="0.2">
      <c r="A6" s="82"/>
      <c r="B6" s="82"/>
      <c r="C6" s="82"/>
      <c r="D6" s="82"/>
      <c r="E6" s="82"/>
      <c r="F6" s="82"/>
      <c r="G6" s="82"/>
      <c r="H6" s="82"/>
      <c r="I6" s="82"/>
    </row>
    <row r="7" spans="1:19" x14ac:dyDescent="0.2">
      <c r="A7" s="76"/>
      <c r="B7" s="76"/>
      <c r="C7" s="76"/>
      <c r="D7" s="76"/>
      <c r="E7" s="76"/>
      <c r="F7" s="76"/>
      <c r="G7" s="76"/>
      <c r="H7" s="76"/>
      <c r="I7" s="76"/>
    </row>
    <row r="8" spans="1:19" x14ac:dyDescent="0.2">
      <c r="A8" s="83" t="s">
        <v>97</v>
      </c>
      <c r="B8" s="84"/>
      <c r="C8" s="84"/>
      <c r="D8" s="84"/>
      <c r="E8" s="84"/>
      <c r="F8" s="84"/>
      <c r="G8" s="84"/>
      <c r="H8" s="84"/>
      <c r="I8" s="84"/>
    </row>
    <row r="9" spans="1:19" ht="34.15" customHeight="1" x14ac:dyDescent="0.2">
      <c r="A9" s="86" t="s">
        <v>103</v>
      </c>
      <c r="B9" s="86"/>
      <c r="C9" s="86"/>
      <c r="D9" s="86"/>
      <c r="E9" s="86"/>
      <c r="F9" s="86"/>
      <c r="G9" s="86"/>
      <c r="H9" s="86"/>
      <c r="I9" s="86"/>
    </row>
    <row r="10" spans="1:19" ht="70.150000000000006" customHeight="1" x14ac:dyDescent="0.2">
      <c r="A10" s="87" t="s">
        <v>102</v>
      </c>
      <c r="B10" s="87"/>
      <c r="C10" s="87"/>
      <c r="D10" s="87"/>
      <c r="E10" s="87"/>
      <c r="F10" s="87"/>
      <c r="G10" s="87"/>
      <c r="H10" s="87"/>
      <c r="I10" s="87"/>
    </row>
    <row r="11" spans="1:19" ht="31.15" customHeight="1" x14ac:dyDescent="0.2">
      <c r="A11" s="86" t="s">
        <v>106</v>
      </c>
      <c r="B11" s="86"/>
      <c r="C11" s="86"/>
      <c r="D11" s="86"/>
      <c r="E11" s="86"/>
      <c r="F11" s="86"/>
      <c r="G11" s="86"/>
      <c r="H11" s="86"/>
      <c r="I11" s="86"/>
    </row>
    <row r="12" spans="1:19" ht="13.5" thickBot="1" x14ac:dyDescent="0.25">
      <c r="A12" s="85"/>
      <c r="B12" s="85"/>
      <c r="C12" s="85"/>
      <c r="D12" s="85"/>
      <c r="E12" s="85"/>
      <c r="F12" s="85"/>
      <c r="G12" s="85"/>
      <c r="H12" s="85"/>
      <c r="I12" s="85"/>
    </row>
    <row r="13" spans="1:19" ht="13.5" thickBot="1" x14ac:dyDescent="0.25">
      <c r="A13" s="92" t="s">
        <v>83</v>
      </c>
      <c r="B13" s="93"/>
      <c r="C13" s="93"/>
      <c r="D13" s="93"/>
      <c r="E13" s="93"/>
      <c r="F13" s="93"/>
      <c r="G13" s="93"/>
      <c r="H13" s="93"/>
      <c r="I13" s="94"/>
    </row>
    <row r="14" spans="1:19" x14ac:dyDescent="0.2">
      <c r="A14" s="80" t="s">
        <v>45</v>
      </c>
      <c r="B14" s="81"/>
      <c r="C14" s="81"/>
      <c r="D14" s="81"/>
      <c r="E14" s="81"/>
      <c r="F14" s="81"/>
      <c r="G14" s="81"/>
      <c r="H14" s="81"/>
      <c r="I14" s="70">
        <v>5000</v>
      </c>
    </row>
    <row r="15" spans="1:19" x14ac:dyDescent="0.2">
      <c r="A15" s="80" t="s">
        <v>84</v>
      </c>
      <c r="B15" s="81"/>
      <c r="C15" s="81"/>
      <c r="D15" s="81"/>
      <c r="E15" s="81"/>
      <c r="F15" s="81"/>
      <c r="G15" s="81"/>
      <c r="H15" s="81"/>
      <c r="I15" s="70">
        <v>20000</v>
      </c>
    </row>
    <row r="16" spans="1:19" x14ac:dyDescent="0.2">
      <c r="A16" s="80" t="s">
        <v>85</v>
      </c>
      <c r="B16" s="81"/>
      <c r="C16" s="81"/>
      <c r="D16" s="81"/>
      <c r="E16" s="81"/>
      <c r="F16" s="81"/>
      <c r="G16" s="81"/>
      <c r="H16" s="81"/>
      <c r="I16" s="70">
        <v>0</v>
      </c>
    </row>
    <row r="17" spans="1:9" ht="13.5" thickBot="1" x14ac:dyDescent="0.25">
      <c r="A17" s="90" t="s">
        <v>101</v>
      </c>
      <c r="B17" s="91"/>
      <c r="C17" s="91"/>
      <c r="D17" s="91"/>
      <c r="E17" s="91"/>
      <c r="F17" s="91"/>
      <c r="G17" s="91"/>
      <c r="H17" s="91"/>
      <c r="I17" s="71">
        <v>0</v>
      </c>
    </row>
    <row r="18" spans="1:9" ht="13.5" thickBot="1" x14ac:dyDescent="0.25">
      <c r="A18" s="88" t="s">
        <v>33</v>
      </c>
      <c r="B18" s="89"/>
      <c r="C18" s="89"/>
      <c r="D18" s="89"/>
      <c r="E18" s="89"/>
      <c r="F18" s="89"/>
      <c r="G18" s="89"/>
      <c r="H18" s="89"/>
      <c r="I18" s="72">
        <f>SUM(I14:I17)</f>
        <v>25000</v>
      </c>
    </row>
    <row r="19" spans="1:9" ht="13.5" thickBot="1" x14ac:dyDescent="0.25">
      <c r="A19" s="79"/>
      <c r="B19" s="79"/>
      <c r="C19" s="79"/>
      <c r="D19" s="79"/>
      <c r="E19" s="79"/>
      <c r="F19" s="79"/>
      <c r="G19" s="79"/>
      <c r="H19" s="79"/>
      <c r="I19" s="41"/>
    </row>
    <row r="20" spans="1:9" ht="13.5" thickBot="1" x14ac:dyDescent="0.25">
      <c r="A20" s="92" t="s">
        <v>50</v>
      </c>
      <c r="B20" s="93"/>
      <c r="C20" s="93"/>
      <c r="D20" s="93"/>
      <c r="E20" s="93"/>
      <c r="F20" s="93"/>
      <c r="G20" s="93"/>
      <c r="H20" s="93"/>
      <c r="I20" s="94"/>
    </row>
    <row r="21" spans="1:9" ht="13.5" thickBot="1" x14ac:dyDescent="0.25">
      <c r="A21" s="90" t="s">
        <v>91</v>
      </c>
      <c r="B21" s="91"/>
      <c r="C21" s="91"/>
      <c r="D21" s="91"/>
      <c r="E21" s="91"/>
      <c r="F21" s="91"/>
      <c r="G21" s="91"/>
      <c r="H21" s="91"/>
      <c r="I21" s="71">
        <v>5000</v>
      </c>
    </row>
    <row r="22" spans="1:9" ht="13.5" thickBot="1" x14ac:dyDescent="0.25">
      <c r="A22" s="79"/>
      <c r="B22" s="79"/>
      <c r="C22" s="79"/>
      <c r="D22" s="79"/>
      <c r="E22" s="79"/>
      <c r="F22" s="79"/>
      <c r="G22" s="79"/>
      <c r="H22" s="79"/>
    </row>
    <row r="23" spans="1:9" ht="13.5" thickBot="1" x14ac:dyDescent="0.25">
      <c r="A23" s="92" t="s">
        <v>86</v>
      </c>
      <c r="B23" s="93"/>
      <c r="C23" s="93"/>
      <c r="D23" s="93"/>
      <c r="E23" s="93"/>
      <c r="F23" s="93"/>
      <c r="G23" s="93"/>
      <c r="H23" s="93"/>
      <c r="I23" s="94"/>
    </row>
    <row r="24" spans="1:9" x14ac:dyDescent="0.2">
      <c r="A24" s="80" t="s">
        <v>87</v>
      </c>
      <c r="B24" s="81"/>
      <c r="C24" s="81"/>
      <c r="D24" s="81"/>
      <c r="E24" s="81"/>
      <c r="F24" s="81"/>
      <c r="G24" s="81"/>
      <c r="H24" s="81"/>
      <c r="I24" s="73" t="s">
        <v>112</v>
      </c>
    </row>
    <row r="25" spans="1:9" x14ac:dyDescent="0.2">
      <c r="A25" s="80" t="s">
        <v>93</v>
      </c>
      <c r="B25" s="81"/>
      <c r="C25" s="81"/>
      <c r="D25" s="81"/>
      <c r="E25" s="81"/>
      <c r="F25" s="81"/>
      <c r="G25" s="81"/>
      <c r="H25" s="81"/>
      <c r="I25" s="74">
        <v>0</v>
      </c>
    </row>
    <row r="26" spans="1:9" x14ac:dyDescent="0.2">
      <c r="A26" s="80" t="s">
        <v>94</v>
      </c>
      <c r="B26" s="81"/>
      <c r="C26" s="81"/>
      <c r="D26" s="81"/>
      <c r="E26" s="81"/>
      <c r="F26" s="81"/>
      <c r="G26" s="81"/>
      <c r="H26" s="81"/>
      <c r="I26" s="74">
        <v>0</v>
      </c>
    </row>
    <row r="27" spans="1:9" x14ac:dyDescent="0.2">
      <c r="A27" s="80" t="s">
        <v>100</v>
      </c>
      <c r="B27" s="81"/>
      <c r="C27" s="81"/>
      <c r="D27" s="81"/>
      <c r="E27" s="81"/>
      <c r="F27" s="81"/>
      <c r="G27" s="81"/>
      <c r="H27" s="81"/>
      <c r="I27" s="73" t="s">
        <v>112</v>
      </c>
    </row>
    <row r="28" spans="1:9" ht="13.5" thickBot="1" x14ac:dyDescent="0.25">
      <c r="A28" s="90" t="s">
        <v>99</v>
      </c>
      <c r="B28" s="91"/>
      <c r="C28" s="91"/>
      <c r="D28" s="91"/>
      <c r="E28" s="91"/>
      <c r="F28" s="91"/>
      <c r="G28" s="91"/>
      <c r="H28" s="91"/>
      <c r="I28" s="75">
        <v>0</v>
      </c>
    </row>
    <row r="29" spans="1:9" ht="13.5" thickBot="1" x14ac:dyDescent="0.25"/>
    <row r="30" spans="1:9" ht="13.5" thickBot="1" x14ac:dyDescent="0.25">
      <c r="A30" s="92" t="s">
        <v>42</v>
      </c>
      <c r="B30" s="93"/>
      <c r="C30" s="93"/>
      <c r="D30" s="93"/>
      <c r="E30" s="93"/>
      <c r="F30" s="93"/>
      <c r="G30" s="93"/>
      <c r="H30" s="93"/>
      <c r="I30" s="94"/>
    </row>
    <row r="31" spans="1:9" ht="13.5" thickBot="1" x14ac:dyDescent="0.25">
      <c r="A31" s="90" t="s">
        <v>95</v>
      </c>
      <c r="B31" s="91"/>
      <c r="C31" s="91"/>
      <c r="D31" s="91"/>
      <c r="E31" s="91"/>
      <c r="F31" s="91"/>
      <c r="G31" s="91"/>
      <c r="H31" s="91"/>
      <c r="I31" s="71">
        <v>300</v>
      </c>
    </row>
  </sheetData>
  <sheetProtection selectLockedCells="1" selectUnlockedCells="1"/>
  <mergeCells count="27">
    <mergeCell ref="A28:H28"/>
    <mergeCell ref="A23:I23"/>
    <mergeCell ref="A27:H27"/>
    <mergeCell ref="A30:I30"/>
    <mergeCell ref="A31:H31"/>
    <mergeCell ref="A26:H26"/>
    <mergeCell ref="A1:G2"/>
    <mergeCell ref="A3:A4"/>
    <mergeCell ref="D3:F4"/>
    <mergeCell ref="A13:I13"/>
    <mergeCell ref="A14:H14"/>
    <mergeCell ref="A22:H22"/>
    <mergeCell ref="A24:H24"/>
    <mergeCell ref="A25:H25"/>
    <mergeCell ref="A5:I6"/>
    <mergeCell ref="A8:I8"/>
    <mergeCell ref="A12:I12"/>
    <mergeCell ref="A9:I9"/>
    <mergeCell ref="A10:I10"/>
    <mergeCell ref="A11:I11"/>
    <mergeCell ref="A18:H18"/>
    <mergeCell ref="A19:H19"/>
    <mergeCell ref="A21:H21"/>
    <mergeCell ref="A20:I20"/>
    <mergeCell ref="A15:H15"/>
    <mergeCell ref="A16:H16"/>
    <mergeCell ref="A17:H17"/>
  </mergeCells>
  <dataValidations count="1">
    <dataValidation type="list" allowBlank="1" showInputMessage="1" showErrorMessage="1" sqref="I24 I27">
      <formula1>$S$2:$S$4</formula1>
    </dataValidation>
  </dataValidations>
  <hyperlinks>
    <hyperlink ref="D3" r:id="rId1"/>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F75"/>
  <sheetViews>
    <sheetView showGridLines="0" workbookViewId="0">
      <pane ySplit="2" topLeftCell="A3" activePane="bottomLeft" state="frozen"/>
      <selection pane="bottomLeft" activeCell="P8" sqref="P8"/>
    </sheetView>
  </sheetViews>
  <sheetFormatPr defaultColWidth="8.7109375" defaultRowHeight="12.75" x14ac:dyDescent="0.2"/>
  <cols>
    <col min="1" max="1" width="1.5703125" customWidth="1"/>
    <col min="2" max="2" width="32.28515625" customWidth="1"/>
    <col min="3" max="3" width="16.42578125" customWidth="1"/>
    <col min="4" max="4" width="13.42578125" customWidth="1"/>
    <col min="5" max="5" width="12.42578125" customWidth="1"/>
    <col min="6" max="6" width="2" customWidth="1"/>
    <col min="7" max="7" width="5.7109375" customWidth="1"/>
    <col min="8" max="8" width="11.42578125" bestFit="1" customWidth="1"/>
    <col min="9" max="9" width="7.42578125" bestFit="1" customWidth="1"/>
    <col min="10" max="10" width="6.5703125" customWidth="1"/>
    <col min="11" max="11" width="13.42578125" customWidth="1"/>
    <col min="12" max="12" width="12.42578125" customWidth="1"/>
    <col min="13" max="13" width="3.28515625" customWidth="1"/>
    <col min="14" max="14" width="11.5703125" bestFit="1" customWidth="1"/>
    <col min="15" max="15" width="7.42578125" bestFit="1" customWidth="1"/>
    <col min="16" max="16" width="2.7109375" customWidth="1"/>
    <col min="17" max="17" width="9.5703125" bestFit="1" customWidth="1"/>
    <col min="18" max="18" width="7.42578125" bestFit="1" customWidth="1"/>
    <col min="19" max="19" width="4.28515625" customWidth="1"/>
    <col min="20" max="20" width="11.42578125" bestFit="1" customWidth="1"/>
    <col min="21" max="21" width="7.42578125" bestFit="1" customWidth="1"/>
    <col min="22" max="22" width="3.7109375" customWidth="1"/>
    <col min="23" max="23" width="14.5703125" bestFit="1" customWidth="1"/>
    <col min="24" max="24" width="7.42578125" bestFit="1" customWidth="1"/>
  </cols>
  <sheetData>
    <row r="1" spans="1:32" ht="8.25" customHeight="1" x14ac:dyDescent="0.6">
      <c r="A1" s="3"/>
      <c r="B1" s="1"/>
      <c r="C1" s="1"/>
      <c r="D1" s="1"/>
      <c r="E1" s="1"/>
      <c r="F1" s="1"/>
      <c r="G1" s="1"/>
      <c r="H1" s="1"/>
      <c r="I1" s="1"/>
      <c r="J1" s="1"/>
      <c r="K1" s="1"/>
      <c r="L1" s="2"/>
    </row>
    <row r="2" spans="1:32" ht="52.15" customHeight="1" x14ac:dyDescent="0.2">
      <c r="A2" s="3"/>
      <c r="B2" s="35"/>
      <c r="C2" s="69" t="str">
        <f>("-  April Monthly Budget")</f>
        <v>-  April Monthly Budget</v>
      </c>
      <c r="E2" s="35"/>
      <c r="F2" s="35"/>
      <c r="G2" s="35"/>
      <c r="H2" s="35"/>
      <c r="I2" s="35"/>
      <c r="J2" s="35"/>
      <c r="K2" s="35"/>
      <c r="L2" s="35"/>
    </row>
    <row r="3" spans="1:32" ht="8.25" customHeight="1" x14ac:dyDescent="0.2">
      <c r="A3" s="2"/>
      <c r="B3" s="98"/>
      <c r="C3" s="98"/>
      <c r="D3" s="98"/>
      <c r="E3" s="4"/>
      <c r="F3" s="5"/>
      <c r="G3" s="4"/>
      <c r="H3" s="6"/>
      <c r="I3" s="6"/>
      <c r="J3" s="6"/>
      <c r="K3" s="7"/>
      <c r="L3" s="8"/>
    </row>
    <row r="4" spans="1:32" ht="16.149999999999999" customHeight="1" x14ac:dyDescent="0.2">
      <c r="A4" s="2"/>
      <c r="B4" s="114" t="s">
        <v>29</v>
      </c>
      <c r="C4" s="105" t="s">
        <v>3</v>
      </c>
      <c r="D4" s="106"/>
      <c r="E4" s="15">
        <f>'Starting Page'!I31</f>
        <v>300</v>
      </c>
      <c r="F4" s="5"/>
      <c r="G4" s="102" t="s">
        <v>34</v>
      </c>
      <c r="H4" s="102"/>
      <c r="I4" s="102"/>
      <c r="J4" s="102"/>
      <c r="K4" s="102"/>
      <c r="L4" s="117">
        <f>E6-E62</f>
        <v>-790</v>
      </c>
      <c r="Y4" s="23"/>
      <c r="Z4" s="23"/>
      <c r="AA4" s="23"/>
      <c r="AB4" s="23"/>
      <c r="AC4" s="23"/>
      <c r="AD4" s="23"/>
      <c r="AE4" s="23"/>
      <c r="AF4" s="23"/>
    </row>
    <row r="5" spans="1:32" ht="16.149999999999999" customHeight="1" x14ac:dyDescent="0.2">
      <c r="A5" s="2"/>
      <c r="B5" s="115"/>
      <c r="C5" s="105" t="s">
        <v>18</v>
      </c>
      <c r="D5" s="106"/>
      <c r="E5" s="15"/>
      <c r="F5" s="5"/>
      <c r="G5" s="102"/>
      <c r="H5" s="102"/>
      <c r="I5" s="102"/>
      <c r="J5" s="102"/>
      <c r="K5" s="102"/>
      <c r="L5" s="117"/>
      <c r="Q5" s="99"/>
      <c r="R5" s="99"/>
      <c r="S5" s="44"/>
      <c r="T5" s="99"/>
      <c r="U5" s="99"/>
      <c r="V5" s="44"/>
      <c r="W5" s="99"/>
      <c r="X5" s="99"/>
      <c r="Y5" s="44"/>
      <c r="Z5" s="23"/>
      <c r="AA5" s="23"/>
      <c r="AB5" s="23"/>
      <c r="AC5" s="23"/>
      <c r="AD5" s="23"/>
      <c r="AE5" s="23"/>
      <c r="AF5" s="23"/>
    </row>
    <row r="6" spans="1:32" ht="16.149999999999999" customHeight="1" x14ac:dyDescent="0.2">
      <c r="A6" s="2"/>
      <c r="B6" s="116"/>
      <c r="C6" s="100" t="s">
        <v>19</v>
      </c>
      <c r="D6" s="101"/>
      <c r="E6" s="66">
        <f>SUM(E4:E5)</f>
        <v>300</v>
      </c>
      <c r="F6" s="5"/>
      <c r="G6" s="102" t="s">
        <v>35</v>
      </c>
      <c r="H6" s="102"/>
      <c r="I6" s="102"/>
      <c r="J6" s="102"/>
      <c r="K6" s="102"/>
      <c r="L6" s="117">
        <f>E9-E64</f>
        <v>0</v>
      </c>
      <c r="Q6" s="44"/>
      <c r="R6" s="44"/>
      <c r="S6" s="44"/>
      <c r="T6" s="44"/>
      <c r="U6" s="44"/>
      <c r="V6" s="44"/>
      <c r="W6" s="44"/>
      <c r="X6" s="44"/>
      <c r="Y6" s="44"/>
      <c r="Z6" s="23"/>
      <c r="AA6" s="23"/>
      <c r="AB6" s="23"/>
      <c r="AC6" s="23"/>
      <c r="AD6" s="23"/>
      <c r="AE6" s="23"/>
      <c r="AF6" s="23"/>
    </row>
    <row r="7" spans="1:32" ht="16.149999999999999" customHeight="1" x14ac:dyDescent="0.2">
      <c r="A7" s="2"/>
      <c r="B7" s="114" t="s">
        <v>28</v>
      </c>
      <c r="C7" s="105" t="s">
        <v>3</v>
      </c>
      <c r="D7" s="106"/>
      <c r="E7" s="15">
        <f>I23</f>
        <v>0</v>
      </c>
      <c r="F7" s="5"/>
      <c r="G7" s="102"/>
      <c r="H7" s="102"/>
      <c r="I7" s="102"/>
      <c r="J7" s="102"/>
      <c r="K7" s="102"/>
      <c r="L7" s="117"/>
      <c r="P7" s="34"/>
      <c r="Q7" s="44"/>
      <c r="R7" s="44"/>
      <c r="S7" s="44"/>
      <c r="T7" s="44"/>
      <c r="U7" s="44"/>
      <c r="V7" s="44"/>
      <c r="W7" s="44"/>
      <c r="X7" s="44"/>
      <c r="Y7" s="44"/>
    </row>
    <row r="8" spans="1:32" ht="16.149999999999999" customHeight="1" x14ac:dyDescent="0.2">
      <c r="A8" s="2"/>
      <c r="B8" s="115"/>
      <c r="C8" s="105" t="s">
        <v>18</v>
      </c>
      <c r="D8" s="106"/>
      <c r="E8" s="15"/>
      <c r="F8" s="5"/>
      <c r="G8" s="102" t="s">
        <v>36</v>
      </c>
      <c r="H8" s="102"/>
      <c r="I8" s="102"/>
      <c r="J8" s="102"/>
      <c r="K8" s="102"/>
      <c r="L8" s="117">
        <f>L6-L4</f>
        <v>790</v>
      </c>
      <c r="Q8" s="44"/>
      <c r="R8" s="44"/>
      <c r="S8" s="44"/>
      <c r="T8" s="44"/>
      <c r="U8" s="44"/>
      <c r="V8" s="44"/>
      <c r="W8" s="44"/>
      <c r="X8" s="44"/>
      <c r="Y8" s="44"/>
    </row>
    <row r="9" spans="1:32" ht="16.149999999999999" customHeight="1" x14ac:dyDescent="0.2">
      <c r="A9" s="2"/>
      <c r="B9" s="116"/>
      <c r="C9" s="100" t="s">
        <v>19</v>
      </c>
      <c r="D9" s="101"/>
      <c r="E9" s="66">
        <f>SUM(E7:E8)</f>
        <v>0</v>
      </c>
      <c r="F9" s="5"/>
      <c r="G9" s="102"/>
      <c r="H9" s="102"/>
      <c r="I9" s="102"/>
      <c r="J9" s="102"/>
      <c r="K9" s="102"/>
      <c r="L9" s="117"/>
      <c r="Q9" s="60"/>
      <c r="R9" s="61"/>
      <c r="S9" s="44"/>
      <c r="T9" s="60"/>
      <c r="U9" s="61"/>
      <c r="V9" s="44"/>
      <c r="W9" s="60"/>
      <c r="X9" s="61"/>
      <c r="Y9" s="44"/>
    </row>
    <row r="10" spans="1:32" ht="16.149999999999999" customHeight="1" thickBot="1" x14ac:dyDescent="0.25">
      <c r="A10" s="2"/>
      <c r="B10" s="68"/>
      <c r="C10" s="68"/>
      <c r="D10" s="9"/>
      <c r="E10" s="10"/>
      <c r="F10" s="5"/>
      <c r="G10" s="11"/>
      <c r="H10" s="11"/>
      <c r="I10" s="11"/>
      <c r="J10" s="11"/>
      <c r="K10" s="11"/>
      <c r="L10" s="12"/>
      <c r="R10" s="23"/>
    </row>
    <row r="11" spans="1:32" ht="16.149999999999999" customHeight="1" thickBot="1" x14ac:dyDescent="0.25">
      <c r="A11" s="2"/>
      <c r="B11" s="16" t="s">
        <v>80</v>
      </c>
      <c r="C11" s="17" t="s">
        <v>0</v>
      </c>
      <c r="D11" s="17" t="s">
        <v>1</v>
      </c>
      <c r="E11" s="18" t="s">
        <v>2</v>
      </c>
      <c r="F11" s="5"/>
      <c r="G11" s="11"/>
      <c r="H11" s="92" t="s">
        <v>42</v>
      </c>
      <c r="I11" s="94"/>
      <c r="J11" s="11"/>
      <c r="K11" s="139" t="s">
        <v>104</v>
      </c>
      <c r="L11" s="140"/>
      <c r="M11" s="140"/>
      <c r="N11" s="140"/>
      <c r="O11" s="140"/>
      <c r="P11" s="140"/>
      <c r="Q11" s="140"/>
      <c r="R11" s="140"/>
      <c r="S11" s="140"/>
      <c r="T11" s="140"/>
      <c r="U11" s="140"/>
      <c r="V11" s="140"/>
      <c r="W11" s="140"/>
      <c r="X11" s="141"/>
    </row>
    <row r="12" spans="1:32" ht="16.149999999999999" customHeight="1" thickBot="1" x14ac:dyDescent="0.25">
      <c r="A12" s="2"/>
      <c r="B12" s="22" t="s">
        <v>50</v>
      </c>
      <c r="C12" s="19">
        <v>0</v>
      </c>
      <c r="D12" s="19">
        <f>L16</f>
        <v>0</v>
      </c>
      <c r="E12" s="20">
        <f>Table114385062748698291623374451[Projected Cost]-Table114385062748698291623374451[Actual Cost]</f>
        <v>0</v>
      </c>
      <c r="F12" s="5"/>
      <c r="H12" s="24" t="s">
        <v>38</v>
      </c>
      <c r="I12" s="25" t="s">
        <v>46</v>
      </c>
      <c r="J12" s="41"/>
      <c r="K12" s="148" t="s">
        <v>50</v>
      </c>
      <c r="L12" s="149"/>
      <c r="M12" s="44"/>
      <c r="N12" s="148" t="s">
        <v>51</v>
      </c>
      <c r="O12" s="149"/>
      <c r="P12" s="44"/>
      <c r="Q12" s="150" t="s">
        <v>54</v>
      </c>
      <c r="R12" s="151"/>
      <c r="S12" s="44"/>
      <c r="T12" s="148" t="s">
        <v>5</v>
      </c>
      <c r="U12" s="149"/>
      <c r="V12" s="44"/>
      <c r="W12" s="148" t="s">
        <v>6</v>
      </c>
      <c r="X12" s="149"/>
    </row>
    <row r="13" spans="1:32" ht="16.149999999999999" customHeight="1" thickBot="1" x14ac:dyDescent="0.25">
      <c r="A13" s="2"/>
      <c r="B13" s="22" t="s">
        <v>51</v>
      </c>
      <c r="C13" s="19">
        <v>0</v>
      </c>
      <c r="D13" s="19">
        <f>O16</f>
        <v>0</v>
      </c>
      <c r="E13" s="20">
        <f>Table114385062748698291623374451[Projected Cost]-Table114385062748698291623374451[Actual Cost]</f>
        <v>0</v>
      </c>
      <c r="F13" s="5"/>
      <c r="H13" s="26" t="s">
        <v>44</v>
      </c>
      <c r="I13" s="27"/>
      <c r="J13" s="42"/>
      <c r="K13" s="45" t="s">
        <v>38</v>
      </c>
      <c r="L13" s="46" t="s">
        <v>46</v>
      </c>
      <c r="M13" s="44"/>
      <c r="N13" s="45" t="s">
        <v>38</v>
      </c>
      <c r="O13" s="46" t="s">
        <v>46</v>
      </c>
      <c r="P13" s="44"/>
      <c r="Q13" s="45" t="s">
        <v>38</v>
      </c>
      <c r="R13" s="46" t="s">
        <v>46</v>
      </c>
      <c r="S13" s="44"/>
      <c r="T13" s="45" t="s">
        <v>38</v>
      </c>
      <c r="U13" s="46" t="s">
        <v>46</v>
      </c>
      <c r="V13" s="44"/>
      <c r="W13" s="45" t="s">
        <v>38</v>
      </c>
      <c r="X13" s="46" t="s">
        <v>46</v>
      </c>
    </row>
    <row r="14" spans="1:32" ht="16.149999999999999" customHeight="1" x14ac:dyDescent="0.2">
      <c r="A14" s="2"/>
      <c r="B14" s="22" t="s">
        <v>52</v>
      </c>
      <c r="C14" s="19">
        <v>0</v>
      </c>
      <c r="D14" s="19">
        <f>R22</f>
        <v>0</v>
      </c>
      <c r="E14" s="20">
        <f>Table114385062748698291623374451[Projected Cost]-Table114385062748698291623374451[Actual Cost]</f>
        <v>0</v>
      </c>
      <c r="F14" s="5"/>
      <c r="H14" s="26"/>
      <c r="I14" s="27"/>
      <c r="J14" s="42"/>
      <c r="K14" s="47" t="s">
        <v>53</v>
      </c>
      <c r="L14" s="48"/>
      <c r="M14" s="44"/>
      <c r="N14" s="47" t="s">
        <v>56</v>
      </c>
      <c r="O14" s="48"/>
      <c r="P14" s="44"/>
      <c r="Q14" s="47" t="s">
        <v>55</v>
      </c>
      <c r="R14" s="48"/>
      <c r="S14" s="44"/>
      <c r="T14" s="47" t="s">
        <v>57</v>
      </c>
      <c r="U14" s="48"/>
      <c r="V14" s="44"/>
      <c r="W14" s="47"/>
      <c r="X14" s="48"/>
    </row>
    <row r="15" spans="1:32" ht="16.149999999999999" customHeight="1" thickBot="1" x14ac:dyDescent="0.25">
      <c r="A15" s="2"/>
      <c r="B15" s="22" t="s">
        <v>5</v>
      </c>
      <c r="C15" s="19">
        <v>50</v>
      </c>
      <c r="D15" s="19">
        <f>U22</f>
        <v>0</v>
      </c>
      <c r="E15" s="20">
        <f>Table114385062748698291623374451[Projected Cost]-Table114385062748698291623374451[Actual Cost]</f>
        <v>50</v>
      </c>
      <c r="F15" s="5"/>
      <c r="H15" s="26"/>
      <c r="I15" s="27"/>
      <c r="J15" s="42"/>
      <c r="K15" s="47"/>
      <c r="L15" s="48"/>
      <c r="M15" s="44"/>
      <c r="N15" s="47"/>
      <c r="O15" s="48"/>
      <c r="P15" s="44"/>
      <c r="Q15" s="47"/>
      <c r="R15" s="48"/>
      <c r="S15" s="44"/>
      <c r="T15" s="47"/>
      <c r="U15" s="48"/>
      <c r="V15" s="44"/>
      <c r="W15" s="47"/>
      <c r="X15" s="48"/>
    </row>
    <row r="16" spans="1:32" ht="16.149999999999999" customHeight="1" thickBot="1" x14ac:dyDescent="0.25">
      <c r="A16" s="2"/>
      <c r="B16" s="22" t="s">
        <v>6</v>
      </c>
      <c r="C16" s="19">
        <v>50</v>
      </c>
      <c r="D16" s="19">
        <f>X18</f>
        <v>0</v>
      </c>
      <c r="E16" s="20">
        <f>Table114385062748698291623374451[Projected Cost]-Table114385062748698291623374451[Actual Cost]</f>
        <v>50</v>
      </c>
      <c r="F16" s="5"/>
      <c r="H16" s="26"/>
      <c r="I16" s="27"/>
      <c r="J16" s="42"/>
      <c r="K16" s="49" t="s">
        <v>33</v>
      </c>
      <c r="L16" s="50">
        <f>SUM(L14:L15)</f>
        <v>0</v>
      </c>
      <c r="M16" s="44"/>
      <c r="N16" s="49" t="s">
        <v>33</v>
      </c>
      <c r="O16" s="50">
        <f>SUM(O14:O15)</f>
        <v>0</v>
      </c>
      <c r="P16" s="44"/>
      <c r="Q16" s="47"/>
      <c r="R16" s="48"/>
      <c r="S16" s="44"/>
      <c r="T16" s="47"/>
      <c r="U16" s="48"/>
      <c r="V16" s="44"/>
      <c r="W16" s="47"/>
      <c r="X16" s="48"/>
    </row>
    <row r="17" spans="1:24" ht="16.149999999999999" customHeight="1" thickBot="1" x14ac:dyDescent="0.25">
      <c r="A17" s="2"/>
      <c r="B17" s="16" t="s">
        <v>33</v>
      </c>
      <c r="C17" s="19">
        <f>SUBTOTAL(109,Table114385062748698291623374451[Projected Cost])</f>
        <v>100</v>
      </c>
      <c r="D17" s="19">
        <f>SUBTOTAL(109,Table114385062748698291623374451[Actual Cost])</f>
        <v>0</v>
      </c>
      <c r="E17" s="21">
        <f>SUBTOTAL(109,Table114385062748698291623374451[Difference])</f>
        <v>100</v>
      </c>
      <c r="F17" s="5"/>
      <c r="H17" s="28"/>
      <c r="I17" s="29"/>
      <c r="J17" s="42"/>
      <c r="K17" s="51"/>
      <c r="L17" s="44"/>
      <c r="M17" s="44"/>
      <c r="N17" s="44"/>
      <c r="O17" s="44"/>
      <c r="P17" s="44"/>
      <c r="Q17" s="47"/>
      <c r="R17" s="48"/>
      <c r="S17" s="44"/>
      <c r="T17" s="47"/>
      <c r="U17" s="48"/>
      <c r="V17" s="44"/>
      <c r="W17" s="47"/>
      <c r="X17" s="48"/>
    </row>
    <row r="18" spans="1:24" ht="16.149999999999999" customHeight="1" thickBot="1" x14ac:dyDescent="0.25">
      <c r="A18" s="2"/>
      <c r="B18" s="16"/>
      <c r="C18" s="19"/>
      <c r="D18" s="19"/>
      <c r="E18" s="21"/>
      <c r="F18" s="5"/>
      <c r="H18" s="28"/>
      <c r="I18" s="29"/>
      <c r="J18" s="42"/>
      <c r="K18" s="52"/>
      <c r="L18" s="53"/>
      <c r="M18" s="44"/>
      <c r="N18" s="44"/>
      <c r="O18" s="44"/>
      <c r="P18" s="44"/>
      <c r="Q18" s="47"/>
      <c r="R18" s="48"/>
      <c r="S18" s="44"/>
      <c r="T18" s="47"/>
      <c r="U18" s="48"/>
      <c r="V18" s="44"/>
      <c r="W18" s="49" t="s">
        <v>33</v>
      </c>
      <c r="X18" s="50">
        <f>SUM(X14:X17)</f>
        <v>0</v>
      </c>
    </row>
    <row r="19" spans="1:24" ht="16.149999999999999" customHeight="1" x14ac:dyDescent="0.2">
      <c r="A19" s="2"/>
      <c r="B19" s="16" t="s">
        <v>22</v>
      </c>
      <c r="C19" s="17" t="s">
        <v>0</v>
      </c>
      <c r="D19" s="17" t="s">
        <v>1</v>
      </c>
      <c r="E19" s="18" t="s">
        <v>2</v>
      </c>
      <c r="F19" s="14"/>
      <c r="H19" s="28"/>
      <c r="I19" s="29"/>
      <c r="J19" s="42"/>
      <c r="K19" s="52"/>
      <c r="L19" s="53"/>
      <c r="M19" s="44"/>
      <c r="N19" s="44"/>
      <c r="O19" s="44"/>
      <c r="P19" s="44"/>
      <c r="Q19" s="47"/>
      <c r="R19" s="48"/>
      <c r="S19" s="44"/>
      <c r="T19" s="47"/>
      <c r="U19" s="48"/>
      <c r="V19" s="44"/>
      <c r="W19" s="44"/>
      <c r="X19" s="54"/>
    </row>
    <row r="20" spans="1:24" ht="15.75" customHeight="1" x14ac:dyDescent="0.2">
      <c r="A20" s="2"/>
      <c r="B20" s="22" t="s">
        <v>48</v>
      </c>
      <c r="C20" s="19">
        <f>IF('Starting Page'!I24="Yes",'Starting Page'!I25/8,IF('Starting Page'!I27="Yes",'Starting Page'!I28,0))</f>
        <v>0</v>
      </c>
      <c r="D20" s="19">
        <f>L29</f>
        <v>0</v>
      </c>
      <c r="E20" s="20">
        <f>Table11438506274869831017313845[Projected Cost]-Table11438506274869831017313845[Actual Cost]</f>
        <v>0</v>
      </c>
      <c r="F20" s="67"/>
      <c r="H20" s="28"/>
      <c r="I20" s="29"/>
      <c r="J20" s="42"/>
      <c r="K20" s="51"/>
      <c r="L20" s="44"/>
      <c r="M20" s="44"/>
      <c r="N20" s="44"/>
      <c r="O20" s="44"/>
      <c r="P20" s="44"/>
      <c r="Q20" s="47"/>
      <c r="R20" s="48"/>
      <c r="S20" s="44"/>
      <c r="T20" s="47"/>
      <c r="U20" s="48"/>
      <c r="V20" s="44"/>
      <c r="W20" s="44"/>
      <c r="X20" s="54"/>
    </row>
    <row r="21" spans="1:24" ht="15.75" customHeight="1" thickBot="1" x14ac:dyDescent="0.25">
      <c r="A21" s="2"/>
      <c r="B21" s="22" t="s">
        <v>4</v>
      </c>
      <c r="C21" s="19">
        <v>70</v>
      </c>
      <c r="D21" s="19">
        <f>O29</f>
        <v>0</v>
      </c>
      <c r="E21" s="20">
        <f>Table11438506274869831017313845[Projected Cost]-Table11438506274869831017313845[Actual Cost]</f>
        <v>70</v>
      </c>
      <c r="F21" s="67"/>
      <c r="H21" s="28"/>
      <c r="I21" s="29"/>
      <c r="J21" s="42"/>
      <c r="K21" s="51"/>
      <c r="L21" s="44"/>
      <c r="M21" s="44"/>
      <c r="N21" s="44"/>
      <c r="O21" s="44"/>
      <c r="P21" s="44"/>
      <c r="Q21" s="47"/>
      <c r="R21" s="48"/>
      <c r="S21" s="44"/>
      <c r="T21" s="47"/>
      <c r="U21" s="48"/>
      <c r="V21" s="44"/>
      <c r="W21" s="44"/>
      <c r="X21" s="54"/>
    </row>
    <row r="22" spans="1:24" ht="15.75" customHeight="1" thickBot="1" x14ac:dyDescent="0.25">
      <c r="A22" s="2"/>
      <c r="B22" s="22" t="s">
        <v>47</v>
      </c>
      <c r="C22" s="19">
        <v>20</v>
      </c>
      <c r="D22" s="19">
        <f>R29</f>
        <v>0</v>
      </c>
      <c r="E22" s="20">
        <f>Table11438506274869831017313845[Projected Cost]-Table11438506274869831017313845[Actual Cost]</f>
        <v>20</v>
      </c>
      <c r="F22" s="67"/>
      <c r="H22" s="28"/>
      <c r="I22" s="29"/>
      <c r="J22" s="42"/>
      <c r="K22" s="55"/>
      <c r="L22" s="56"/>
      <c r="M22" s="56"/>
      <c r="N22" s="56"/>
      <c r="O22" s="56"/>
      <c r="P22" s="56"/>
      <c r="Q22" s="49" t="s">
        <v>33</v>
      </c>
      <c r="R22" s="50">
        <f>SUM(R14:R21)</f>
        <v>0</v>
      </c>
      <c r="S22" s="56"/>
      <c r="T22" s="49" t="s">
        <v>33</v>
      </c>
      <c r="U22" s="50">
        <f>SUM(U14:U21)</f>
        <v>0</v>
      </c>
      <c r="V22" s="56"/>
      <c r="W22" s="56"/>
      <c r="X22" s="57"/>
    </row>
    <row r="23" spans="1:24" ht="15.75" customHeight="1" thickBot="1" x14ac:dyDescent="0.25">
      <c r="A23" s="2"/>
      <c r="B23" s="22" t="s">
        <v>37</v>
      </c>
      <c r="C23" s="19">
        <v>20</v>
      </c>
      <c r="D23" s="19">
        <f>U29</f>
        <v>0</v>
      </c>
      <c r="E23" s="20">
        <f>Table11438506274869831017313845[Projected Cost]-Table11438506274869831017313845[Actual Cost]</f>
        <v>20</v>
      </c>
      <c r="F23" s="67"/>
      <c r="H23" s="36" t="s">
        <v>33</v>
      </c>
      <c r="I23" s="30">
        <f>SUM(I13:I22)</f>
        <v>0</v>
      </c>
      <c r="J23" s="42"/>
      <c r="U23" s="23"/>
    </row>
    <row r="24" spans="1:24" ht="15.75" customHeight="1" thickBot="1" x14ac:dyDescent="0.25">
      <c r="A24" s="2"/>
      <c r="B24" s="22" t="s">
        <v>6</v>
      </c>
      <c r="C24" s="19">
        <v>50</v>
      </c>
      <c r="D24" s="19">
        <f>X29</f>
        <v>0</v>
      </c>
      <c r="E24" s="20">
        <f>Table11438506274869831017313845[Projected Cost]-Table11438506274869831017313845[Actual Cost]</f>
        <v>50</v>
      </c>
      <c r="F24" s="67"/>
      <c r="I24" s="43"/>
      <c r="J24" s="42"/>
      <c r="K24" s="139" t="s">
        <v>58</v>
      </c>
      <c r="L24" s="140"/>
      <c r="M24" s="140"/>
      <c r="N24" s="140"/>
      <c r="O24" s="140"/>
      <c r="P24" s="140"/>
      <c r="Q24" s="140"/>
      <c r="R24" s="140"/>
      <c r="S24" s="140"/>
      <c r="T24" s="140"/>
      <c r="U24" s="140"/>
      <c r="V24" s="140"/>
      <c r="W24" s="140"/>
      <c r="X24" s="141"/>
    </row>
    <row r="25" spans="1:24" ht="15.75" customHeight="1" thickBot="1" x14ac:dyDescent="0.25">
      <c r="A25" s="2"/>
      <c r="B25" s="16" t="s">
        <v>33</v>
      </c>
      <c r="C25" s="19">
        <f>SUBTOTAL(109,Table11438506274869831017313845[Projected Cost])</f>
        <v>160</v>
      </c>
      <c r="D25" s="19">
        <f>SUBTOTAL(109,Table11438506274869831017313845[Actual Cost])</f>
        <v>0</v>
      </c>
      <c r="E25" s="21">
        <f>SUBTOTAL(109,Table11438506274869831017313845[Difference])</f>
        <v>160</v>
      </c>
      <c r="F25" s="67"/>
      <c r="J25" s="42"/>
      <c r="K25" s="148" t="s">
        <v>48</v>
      </c>
      <c r="L25" s="149"/>
      <c r="M25" s="44"/>
      <c r="N25" s="148" t="s">
        <v>4</v>
      </c>
      <c r="O25" s="149"/>
      <c r="P25" s="44"/>
      <c r="Q25" s="148" t="s">
        <v>47</v>
      </c>
      <c r="R25" s="149"/>
      <c r="S25" s="44"/>
      <c r="T25" s="148" t="s">
        <v>37</v>
      </c>
      <c r="U25" s="149"/>
      <c r="V25" s="44"/>
      <c r="W25" s="148" t="s">
        <v>6</v>
      </c>
      <c r="X25" s="149"/>
    </row>
    <row r="26" spans="1:24" ht="15.75" customHeight="1" thickBot="1" x14ac:dyDescent="0.25">
      <c r="A26" s="2"/>
      <c r="B26" s="113"/>
      <c r="C26" s="113"/>
      <c r="D26" s="113"/>
      <c r="E26" s="113"/>
      <c r="F26" s="67"/>
      <c r="J26" s="42"/>
      <c r="K26" s="45" t="s">
        <v>38</v>
      </c>
      <c r="L26" s="46" t="s">
        <v>46</v>
      </c>
      <c r="M26" s="44"/>
      <c r="N26" s="45" t="s">
        <v>38</v>
      </c>
      <c r="O26" s="46" t="s">
        <v>46</v>
      </c>
      <c r="P26" s="44"/>
      <c r="Q26" s="45" t="s">
        <v>38</v>
      </c>
      <c r="R26" s="46" t="s">
        <v>46</v>
      </c>
      <c r="S26" s="44"/>
      <c r="T26" s="45" t="s">
        <v>38</v>
      </c>
      <c r="U26" s="46" t="s">
        <v>46</v>
      </c>
      <c r="V26" s="44"/>
      <c r="W26" s="45" t="s">
        <v>38</v>
      </c>
      <c r="X26" s="46" t="s">
        <v>46</v>
      </c>
    </row>
    <row r="27" spans="1:24" ht="15.75" customHeight="1" x14ac:dyDescent="0.2">
      <c r="A27" s="2"/>
      <c r="B27" s="16" t="s">
        <v>24</v>
      </c>
      <c r="C27" s="17" t="s">
        <v>0</v>
      </c>
      <c r="D27" s="17" t="s">
        <v>1</v>
      </c>
      <c r="E27" s="18" t="s">
        <v>2</v>
      </c>
      <c r="F27" s="67"/>
      <c r="J27" s="42"/>
      <c r="K27" s="47" t="s">
        <v>48</v>
      </c>
      <c r="L27" s="48"/>
      <c r="M27" s="44"/>
      <c r="N27" s="47" t="s">
        <v>59</v>
      </c>
      <c r="O27" s="48"/>
      <c r="P27" s="44"/>
      <c r="Q27" s="47" t="s">
        <v>60</v>
      </c>
      <c r="R27" s="48"/>
      <c r="S27" s="44"/>
      <c r="T27" s="47" t="s">
        <v>59</v>
      </c>
      <c r="U27" s="48"/>
      <c r="V27" s="44"/>
      <c r="W27" s="47" t="s">
        <v>61</v>
      </c>
      <c r="X27" s="48"/>
    </row>
    <row r="28" spans="1:24" ht="15.75" customHeight="1" thickBot="1" x14ac:dyDescent="0.25">
      <c r="A28" s="2"/>
      <c r="B28" s="22" t="s">
        <v>20</v>
      </c>
      <c r="C28" s="19">
        <v>0</v>
      </c>
      <c r="D28" s="19">
        <f>L36</f>
        <v>0</v>
      </c>
      <c r="E28" s="20">
        <f>Table321455769819310561320344148[Projected Cost]-Table321455769819310561320344148[Actual Cost]</f>
        <v>0</v>
      </c>
      <c r="F28" s="67"/>
      <c r="J28" s="43"/>
      <c r="K28" s="47"/>
      <c r="L28" s="48"/>
      <c r="M28" s="44"/>
      <c r="N28" s="47"/>
      <c r="O28" s="48"/>
      <c r="P28" s="44"/>
      <c r="Q28" s="47"/>
      <c r="R28" s="48"/>
      <c r="S28" s="44"/>
      <c r="T28" s="47"/>
      <c r="U28" s="48"/>
      <c r="V28" s="44"/>
      <c r="W28" s="47"/>
      <c r="X28" s="48"/>
    </row>
    <row r="29" spans="1:24" ht="15.75" customHeight="1" thickBot="1" x14ac:dyDescent="0.25">
      <c r="A29" s="2"/>
      <c r="B29" s="22" t="s">
        <v>7</v>
      </c>
      <c r="C29" s="19">
        <v>0</v>
      </c>
      <c r="D29" s="19">
        <f>O36</f>
        <v>0</v>
      </c>
      <c r="E29" s="20">
        <f>Table321455769819310561320344148[Projected Cost]-Table321455769819310561320344148[Actual Cost]</f>
        <v>0</v>
      </c>
      <c r="F29" s="67"/>
      <c r="K29" s="49" t="s">
        <v>33</v>
      </c>
      <c r="L29" s="50">
        <f>SUM(L27:L28)</f>
        <v>0</v>
      </c>
      <c r="M29" s="56"/>
      <c r="N29" s="49" t="s">
        <v>33</v>
      </c>
      <c r="O29" s="50">
        <f>SUM(O27:O28)</f>
        <v>0</v>
      </c>
      <c r="P29" s="56"/>
      <c r="Q29" s="49" t="s">
        <v>33</v>
      </c>
      <c r="R29" s="50">
        <f>SUM(R27:R28)</f>
        <v>0</v>
      </c>
      <c r="S29" s="56"/>
      <c r="T29" s="49" t="s">
        <v>33</v>
      </c>
      <c r="U29" s="50">
        <f>SUM(U27:U28)</f>
        <v>0</v>
      </c>
      <c r="V29" s="56"/>
      <c r="W29" s="49" t="s">
        <v>33</v>
      </c>
      <c r="X29" s="50">
        <f>SUM(X27:X28)</f>
        <v>0</v>
      </c>
    </row>
    <row r="30" spans="1:24" ht="15.75" customHeight="1" thickBot="1" x14ac:dyDescent="0.25">
      <c r="A30" s="2"/>
      <c r="B30" s="22" t="s">
        <v>8</v>
      </c>
      <c r="C30" s="19">
        <v>0</v>
      </c>
      <c r="D30" s="19">
        <f>R40</f>
        <v>0</v>
      </c>
      <c r="E30" s="20">
        <f>Table321455769819310561320344148[Projected Cost]-Table321455769819310561320344148[Actual Cost]</f>
        <v>0</v>
      </c>
      <c r="F30" s="67"/>
      <c r="K30" s="44"/>
      <c r="L30" s="44"/>
      <c r="M30" s="44"/>
      <c r="N30" s="44"/>
      <c r="O30" s="44"/>
      <c r="P30" s="44"/>
      <c r="Q30" s="58"/>
      <c r="R30" s="58"/>
      <c r="S30" s="58"/>
      <c r="T30" s="58"/>
      <c r="U30" s="58"/>
      <c r="V30" s="44"/>
      <c r="W30" s="44"/>
      <c r="X30" s="44"/>
    </row>
    <row r="31" spans="1:24" ht="15.75" customHeight="1" thickBot="1" x14ac:dyDescent="0.25">
      <c r="A31" s="2"/>
      <c r="B31" s="22" t="s">
        <v>9</v>
      </c>
      <c r="C31" s="19">
        <v>0</v>
      </c>
      <c r="D31" s="19">
        <f>U38</f>
        <v>0</v>
      </c>
      <c r="E31" s="20">
        <f>Table321455769819310561320344148[Projected Cost]-Table321455769819310561320344148[Actual Cost]</f>
        <v>0</v>
      </c>
      <c r="F31" s="67"/>
      <c r="K31" s="139" t="s">
        <v>63</v>
      </c>
      <c r="L31" s="140"/>
      <c r="M31" s="140"/>
      <c r="N31" s="140"/>
      <c r="O31" s="140"/>
      <c r="P31" s="140"/>
      <c r="Q31" s="140"/>
      <c r="R31" s="140"/>
      <c r="S31" s="140"/>
      <c r="T31" s="140"/>
      <c r="U31" s="140"/>
      <c r="V31" s="140"/>
      <c r="W31" s="140"/>
      <c r="X31" s="141"/>
    </row>
    <row r="32" spans="1:24" ht="15.75" customHeight="1" thickBot="1" x14ac:dyDescent="0.25">
      <c r="A32" s="2"/>
      <c r="B32" s="22" t="s">
        <v>62</v>
      </c>
      <c r="C32" s="19">
        <v>50</v>
      </c>
      <c r="D32" s="19">
        <f>X40</f>
        <v>0</v>
      </c>
      <c r="E32" s="20">
        <f>Table321455769819310561320344148[Projected Cost]-Table321455769819310561320344148[Actual Cost]</f>
        <v>50</v>
      </c>
      <c r="F32" s="67"/>
      <c r="K32" s="148" t="s">
        <v>39</v>
      </c>
      <c r="L32" s="149"/>
      <c r="M32" s="44"/>
      <c r="N32" s="148" t="s">
        <v>7</v>
      </c>
      <c r="O32" s="149"/>
      <c r="P32" s="44"/>
      <c r="Q32" s="148" t="s">
        <v>8</v>
      </c>
      <c r="R32" s="149"/>
      <c r="S32" s="44"/>
      <c r="T32" s="148" t="s">
        <v>9</v>
      </c>
      <c r="U32" s="149"/>
      <c r="V32" s="44"/>
      <c r="W32" s="148" t="s">
        <v>62</v>
      </c>
      <c r="X32" s="149"/>
    </row>
    <row r="33" spans="1:24" ht="15.75" customHeight="1" thickBot="1" x14ac:dyDescent="0.25">
      <c r="A33" s="2"/>
      <c r="B33" s="16" t="s">
        <v>33</v>
      </c>
      <c r="C33" s="19">
        <f>SUBTOTAL(109,Table321455769819310561320344148[Projected Cost])</f>
        <v>50</v>
      </c>
      <c r="D33" s="19">
        <f>SUBTOTAL(109,Table321455769819310561320344148[Actual Cost])</f>
        <v>0</v>
      </c>
      <c r="E33" s="21">
        <f>SUBTOTAL(109,Table321455769819310561320344148[Difference])</f>
        <v>50</v>
      </c>
      <c r="F33" s="67"/>
      <c r="K33" s="45" t="s">
        <v>38</v>
      </c>
      <c r="L33" s="46" t="s">
        <v>46</v>
      </c>
      <c r="M33" s="44"/>
      <c r="N33" s="45" t="s">
        <v>38</v>
      </c>
      <c r="O33" s="46" t="s">
        <v>46</v>
      </c>
      <c r="P33" s="44"/>
      <c r="Q33" s="45" t="s">
        <v>38</v>
      </c>
      <c r="R33" s="46" t="s">
        <v>46</v>
      </c>
      <c r="S33" s="44"/>
      <c r="T33" s="45" t="s">
        <v>38</v>
      </c>
      <c r="U33" s="46" t="s">
        <v>46</v>
      </c>
      <c r="V33" s="44"/>
      <c r="W33" s="45" t="s">
        <v>38</v>
      </c>
      <c r="X33" s="46" t="s">
        <v>46</v>
      </c>
    </row>
    <row r="34" spans="1:24" ht="15.75" customHeight="1" x14ac:dyDescent="0.2">
      <c r="A34" s="2"/>
      <c r="B34" s="113"/>
      <c r="C34" s="113"/>
      <c r="D34" s="113"/>
      <c r="E34" s="113"/>
      <c r="F34" s="67"/>
      <c r="K34" s="47" t="s">
        <v>64</v>
      </c>
      <c r="L34" s="48"/>
      <c r="M34" s="44"/>
      <c r="N34" s="47" t="s">
        <v>59</v>
      </c>
      <c r="O34" s="48"/>
      <c r="P34" s="44"/>
      <c r="Q34" s="47" t="s">
        <v>65</v>
      </c>
      <c r="R34" s="48"/>
      <c r="S34" s="44"/>
      <c r="T34" s="47" t="s">
        <v>67</v>
      </c>
      <c r="U34" s="48"/>
      <c r="V34" s="44"/>
      <c r="W34" s="47" t="s">
        <v>66</v>
      </c>
      <c r="X34" s="48"/>
    </row>
    <row r="35" spans="1:24" ht="15.75" customHeight="1" thickBot="1" x14ac:dyDescent="0.25">
      <c r="A35" s="2"/>
      <c r="B35" s="16" t="s">
        <v>25</v>
      </c>
      <c r="C35" s="17" t="s">
        <v>0</v>
      </c>
      <c r="D35" s="17" t="s">
        <v>1</v>
      </c>
      <c r="E35" s="18" t="s">
        <v>2</v>
      </c>
      <c r="F35" s="67"/>
      <c r="K35" s="47"/>
      <c r="L35" s="48"/>
      <c r="M35" s="44"/>
      <c r="N35" s="47"/>
      <c r="O35" s="48"/>
      <c r="P35" s="44"/>
      <c r="Q35" s="47"/>
      <c r="R35" s="48"/>
      <c r="S35" s="44"/>
      <c r="T35" s="47"/>
      <c r="U35" s="48"/>
      <c r="V35" s="44"/>
      <c r="W35" s="47"/>
      <c r="X35" s="48"/>
    </row>
    <row r="36" spans="1:24" ht="15.75" customHeight="1" thickBot="1" x14ac:dyDescent="0.25">
      <c r="A36" s="2"/>
      <c r="B36" s="22" t="s">
        <v>68</v>
      </c>
      <c r="C36" s="19">
        <v>15</v>
      </c>
      <c r="D36" s="19">
        <f>L46</f>
        <v>0</v>
      </c>
      <c r="E36" s="20">
        <f>Table41539516375879941118323946[Projected Cost]-Table41539516375879941118323946[Actual Cost]</f>
        <v>15</v>
      </c>
      <c r="F36" s="67"/>
      <c r="K36" s="49" t="s">
        <v>33</v>
      </c>
      <c r="L36" s="50">
        <f>SUM(L34:L35)</f>
        <v>0</v>
      </c>
      <c r="M36" s="44"/>
      <c r="N36" s="49" t="s">
        <v>33</v>
      </c>
      <c r="O36" s="50">
        <f>SUM(O34:O35)</f>
        <v>0</v>
      </c>
      <c r="P36" s="44"/>
      <c r="Q36" s="47"/>
      <c r="R36" s="48"/>
      <c r="S36" s="44"/>
      <c r="T36" s="47"/>
      <c r="U36" s="48"/>
      <c r="V36" s="44"/>
      <c r="W36" s="47"/>
      <c r="X36" s="48"/>
    </row>
    <row r="37" spans="1:24" ht="15.75" customHeight="1" thickBot="1" x14ac:dyDescent="0.25">
      <c r="A37" s="2"/>
      <c r="B37" s="16" t="s">
        <v>33</v>
      </c>
      <c r="C37" s="19">
        <f>SUBTOTAL(109,Table41539516375879941118323946[Projected Cost])</f>
        <v>15</v>
      </c>
      <c r="D37" s="19">
        <f>SUBTOTAL(109,Table41539516375879941118323946[Actual Cost])</f>
        <v>0</v>
      </c>
      <c r="E37" s="21">
        <f>SUBTOTAL(109,Table41539516375879941118323946[Difference])</f>
        <v>15</v>
      </c>
      <c r="F37" s="67"/>
      <c r="K37" s="62"/>
      <c r="L37" s="58"/>
      <c r="M37" s="44"/>
      <c r="N37" s="58"/>
      <c r="O37" s="58"/>
      <c r="P37" s="44"/>
      <c r="Q37" s="47"/>
      <c r="R37" s="48"/>
      <c r="S37" s="44"/>
      <c r="T37" s="47"/>
      <c r="U37" s="48"/>
      <c r="V37" s="44"/>
      <c r="W37" s="47"/>
      <c r="X37" s="48"/>
    </row>
    <row r="38" spans="1:24" ht="15.75" customHeight="1" thickBot="1" x14ac:dyDescent="0.25">
      <c r="A38" s="2"/>
      <c r="B38" s="113"/>
      <c r="C38" s="113"/>
      <c r="D38" s="113"/>
      <c r="E38" s="113"/>
      <c r="F38" s="67"/>
      <c r="K38" s="62"/>
      <c r="L38" s="58"/>
      <c r="M38" s="44"/>
      <c r="N38" s="58"/>
      <c r="O38" s="58"/>
      <c r="P38" s="44"/>
      <c r="Q38" s="47"/>
      <c r="R38" s="48"/>
      <c r="S38" s="44"/>
      <c r="T38" s="49" t="s">
        <v>33</v>
      </c>
      <c r="U38" s="50">
        <f>SUM(U34:U37)</f>
        <v>0</v>
      </c>
      <c r="V38" s="44"/>
      <c r="W38" s="47"/>
      <c r="X38" s="48"/>
    </row>
    <row r="39" spans="1:24" ht="15.75" customHeight="1" thickBot="1" x14ac:dyDescent="0.25">
      <c r="A39" s="2"/>
      <c r="B39" s="16" t="s">
        <v>26</v>
      </c>
      <c r="C39" s="17" t="s">
        <v>0</v>
      </c>
      <c r="D39" s="17" t="s">
        <v>1</v>
      </c>
      <c r="E39" s="18" t="s">
        <v>2</v>
      </c>
      <c r="F39" s="67"/>
      <c r="K39" s="62"/>
      <c r="L39" s="58"/>
      <c r="M39" s="44"/>
      <c r="N39" s="58"/>
      <c r="O39" s="58"/>
      <c r="P39" s="44"/>
      <c r="Q39" s="47"/>
      <c r="R39" s="48"/>
      <c r="S39" s="44"/>
      <c r="T39" s="58"/>
      <c r="U39" s="58"/>
      <c r="V39" s="44"/>
      <c r="W39" s="47"/>
      <c r="X39" s="48"/>
    </row>
    <row r="40" spans="1:24" ht="15.75" customHeight="1" thickBot="1" x14ac:dyDescent="0.25">
      <c r="A40" s="2"/>
      <c r="B40" s="22" t="s">
        <v>92</v>
      </c>
      <c r="C40" s="19">
        <f>IF('Starting Page'!I24="Yes",'Starting Page'!I26/8,300)</f>
        <v>300</v>
      </c>
      <c r="D40" s="19">
        <f>O53</f>
        <v>0</v>
      </c>
      <c r="E40" s="20">
        <f>Table519435567799110351219334047[Projected Cost]-Table519435567799110351219334047[Actual Cost]</f>
        <v>300</v>
      </c>
      <c r="F40" s="67"/>
      <c r="K40" s="63"/>
      <c r="L40" s="59"/>
      <c r="M40" s="56"/>
      <c r="N40" s="59"/>
      <c r="O40" s="59"/>
      <c r="P40" s="56"/>
      <c r="Q40" s="49" t="s">
        <v>33</v>
      </c>
      <c r="R40" s="50">
        <f>SUM(R34:R39)</f>
        <v>0</v>
      </c>
      <c r="S40" s="56"/>
      <c r="T40" s="59"/>
      <c r="U40" s="59"/>
      <c r="V40" s="56"/>
      <c r="W40" s="49" t="s">
        <v>33</v>
      </c>
      <c r="X40" s="50">
        <f>SUM(X34:X39)</f>
        <v>0</v>
      </c>
    </row>
    <row r="41" spans="1:24" ht="15.75" customHeight="1" thickBot="1" x14ac:dyDescent="0.25">
      <c r="A41" s="2"/>
      <c r="B41" s="22" t="s">
        <v>15</v>
      </c>
      <c r="C41" s="19">
        <v>100</v>
      </c>
      <c r="D41" s="19">
        <f>R53</f>
        <v>0</v>
      </c>
      <c r="E41" s="20">
        <f>Table519435567799110351219334047[Projected Cost]-Table519435567799110351219334047[Actual Cost]</f>
        <v>100</v>
      </c>
      <c r="F41" s="67"/>
    </row>
    <row r="42" spans="1:24" ht="15.75" customHeight="1" thickBot="1" x14ac:dyDescent="0.25">
      <c r="A42" s="2"/>
      <c r="B42" s="22" t="s">
        <v>6</v>
      </c>
      <c r="C42" s="19">
        <v>0</v>
      </c>
      <c r="D42" s="19">
        <f>U49</f>
        <v>0</v>
      </c>
      <c r="E42" s="20">
        <f>Table519435567799110351219334047[Projected Cost]-Table519435567799110351219334047[Actual Cost]</f>
        <v>0</v>
      </c>
      <c r="F42" s="67"/>
      <c r="K42" s="144" t="s">
        <v>68</v>
      </c>
      <c r="L42" s="145"/>
      <c r="N42" s="139" t="s">
        <v>11</v>
      </c>
      <c r="O42" s="140"/>
      <c r="P42" s="140"/>
      <c r="Q42" s="140"/>
      <c r="R42" s="140"/>
      <c r="S42" s="140"/>
      <c r="T42" s="140"/>
      <c r="U42" s="141"/>
    </row>
    <row r="43" spans="1:24" ht="15.75" customHeight="1" thickBot="1" x14ac:dyDescent="0.25">
      <c r="A43" s="2"/>
      <c r="B43" s="16" t="s">
        <v>33</v>
      </c>
      <c r="C43" s="19">
        <f>SUBTOTAL(109,Table519435567799110351219334047[Projected Cost])</f>
        <v>400</v>
      </c>
      <c r="D43" s="19">
        <f>SUBTOTAL(109,Table519435567799110351219334047[Actual Cost])</f>
        <v>0</v>
      </c>
      <c r="E43" s="21">
        <f>SUBTOTAL(109,Table519435567799110351219334047[Difference])</f>
        <v>400</v>
      </c>
      <c r="F43" s="67"/>
      <c r="K43" s="45" t="s">
        <v>38</v>
      </c>
      <c r="L43" s="46" t="s">
        <v>46</v>
      </c>
      <c r="N43" s="148" t="s">
        <v>10</v>
      </c>
      <c r="O43" s="149"/>
      <c r="P43" s="44"/>
      <c r="Q43" s="148" t="s">
        <v>40</v>
      </c>
      <c r="R43" s="149"/>
      <c r="S43" s="58"/>
      <c r="T43" s="148" t="s">
        <v>6</v>
      </c>
      <c r="U43" s="149"/>
    </row>
    <row r="44" spans="1:24" ht="15.75" customHeight="1" thickBot="1" x14ac:dyDescent="0.25">
      <c r="A44" s="2"/>
      <c r="B44" s="113"/>
      <c r="C44" s="113"/>
      <c r="D44" s="113"/>
      <c r="E44" s="113"/>
      <c r="F44" s="67"/>
      <c r="K44" s="47" t="s">
        <v>59</v>
      </c>
      <c r="L44" s="48"/>
      <c r="N44" s="45" t="s">
        <v>38</v>
      </c>
      <c r="O44" s="46" t="s">
        <v>46</v>
      </c>
      <c r="P44" s="44"/>
      <c r="Q44" s="45" t="s">
        <v>38</v>
      </c>
      <c r="R44" s="46" t="s">
        <v>46</v>
      </c>
      <c r="S44" s="58"/>
      <c r="T44" s="45" t="s">
        <v>38</v>
      </c>
      <c r="U44" s="46" t="s">
        <v>46</v>
      </c>
    </row>
    <row r="45" spans="1:24" ht="15.75" customHeight="1" thickBot="1" x14ac:dyDescent="0.25">
      <c r="A45" s="2"/>
      <c r="B45" s="16" t="s">
        <v>27</v>
      </c>
      <c r="C45" s="17" t="s">
        <v>0</v>
      </c>
      <c r="D45" s="17" t="s">
        <v>1</v>
      </c>
      <c r="E45" s="18" t="s">
        <v>2</v>
      </c>
      <c r="F45" s="67"/>
      <c r="K45" s="47"/>
      <c r="L45" s="48"/>
      <c r="N45" s="47" t="s">
        <v>69</v>
      </c>
      <c r="O45" s="48"/>
      <c r="P45" s="44"/>
      <c r="Q45" s="47" t="s">
        <v>70</v>
      </c>
      <c r="R45" s="48"/>
      <c r="S45" s="58"/>
      <c r="T45" s="47"/>
      <c r="U45" s="48"/>
    </row>
    <row r="46" spans="1:24" ht="17.25" customHeight="1" thickBot="1" x14ac:dyDescent="0.25">
      <c r="A46" s="2"/>
      <c r="B46" s="22" t="s">
        <v>12</v>
      </c>
      <c r="C46" s="19">
        <v>20</v>
      </c>
      <c r="D46" s="19">
        <f>L61</f>
        <v>0</v>
      </c>
      <c r="E46" s="20">
        <f>Table724486072849610871421354249[Projected Cost]-Table724486072849610871421354249[Actual Cost]</f>
        <v>20</v>
      </c>
      <c r="F46" s="67"/>
      <c r="K46" s="49" t="s">
        <v>33</v>
      </c>
      <c r="L46" s="50">
        <f>SUM(L44:L45)</f>
        <v>0</v>
      </c>
      <c r="N46" s="47"/>
      <c r="O46" s="48"/>
      <c r="P46" s="44"/>
      <c r="Q46" s="47"/>
      <c r="R46" s="48"/>
      <c r="S46" s="58"/>
      <c r="T46" s="47"/>
      <c r="U46" s="48"/>
    </row>
    <row r="47" spans="1:24" ht="15.75" customHeight="1" x14ac:dyDescent="0.2">
      <c r="A47" s="2"/>
      <c r="B47" s="22" t="s">
        <v>14</v>
      </c>
      <c r="C47" s="19">
        <v>50</v>
      </c>
      <c r="D47" s="19">
        <f>O60</f>
        <v>0</v>
      </c>
      <c r="E47" s="20">
        <f>Table724486072849610871421354249[Projected Cost]-Table724486072849610871421354249[Actual Cost]</f>
        <v>50</v>
      </c>
      <c r="F47" s="67"/>
      <c r="N47" s="47"/>
      <c r="O47" s="48"/>
      <c r="P47" s="44"/>
      <c r="Q47" s="47"/>
      <c r="R47" s="48"/>
      <c r="S47" s="58"/>
      <c r="T47" s="47"/>
      <c r="U47" s="48"/>
    </row>
    <row r="48" spans="1:24" ht="15.75" customHeight="1" thickBot="1" x14ac:dyDescent="0.25">
      <c r="A48" s="2"/>
      <c r="B48" s="22" t="s">
        <v>13</v>
      </c>
      <c r="C48" s="19">
        <v>50</v>
      </c>
      <c r="D48" s="19">
        <f>R64</f>
        <v>0</v>
      </c>
      <c r="E48" s="20">
        <f>Table724486072849610871421354249[Projected Cost]-Table724486072849610871421354249[Actual Cost]</f>
        <v>50</v>
      </c>
      <c r="F48" s="67"/>
      <c r="N48" s="47"/>
      <c r="O48" s="48"/>
      <c r="P48" s="44"/>
      <c r="Q48" s="47"/>
      <c r="R48" s="48"/>
      <c r="S48" s="58"/>
      <c r="T48" s="47"/>
      <c r="U48" s="48"/>
    </row>
    <row r="49" spans="1:24" ht="15.75" customHeight="1" thickBot="1" x14ac:dyDescent="0.25">
      <c r="A49" s="2"/>
      <c r="B49" s="22" t="s">
        <v>49</v>
      </c>
      <c r="C49" s="19">
        <v>40</v>
      </c>
      <c r="D49" s="19">
        <f>U60</f>
        <v>0</v>
      </c>
      <c r="E49" s="20">
        <f>Table724486072849610871421354249[Projected Cost]-Table724486072849610871421354249[Actual Cost]</f>
        <v>40</v>
      </c>
      <c r="F49" s="67"/>
      <c r="N49" s="47"/>
      <c r="O49" s="48"/>
      <c r="P49" s="44"/>
      <c r="Q49" s="47"/>
      <c r="R49" s="48"/>
      <c r="S49" s="58"/>
      <c r="T49" s="49" t="s">
        <v>33</v>
      </c>
      <c r="U49" s="50">
        <f>SUM(U45:U48)</f>
        <v>0</v>
      </c>
    </row>
    <row r="50" spans="1:24" ht="15.75" customHeight="1" x14ac:dyDescent="0.2">
      <c r="A50" s="2"/>
      <c r="B50" s="22" t="s">
        <v>6</v>
      </c>
      <c r="C50" s="19">
        <v>20</v>
      </c>
      <c r="D50" s="19">
        <f>X64</f>
        <v>0</v>
      </c>
      <c r="E50" s="20">
        <f>Table724486072849610871421354249[Projected Cost]-Table724486072849610871421354249[Actual Cost]</f>
        <v>20</v>
      </c>
      <c r="F50" s="67"/>
      <c r="N50" s="47"/>
      <c r="O50" s="48"/>
      <c r="P50" s="44"/>
      <c r="Q50" s="47"/>
      <c r="R50" s="48"/>
      <c r="S50" s="58"/>
      <c r="T50" s="58"/>
      <c r="U50" s="64"/>
    </row>
    <row r="51" spans="1:24" ht="15.75" customHeight="1" x14ac:dyDescent="0.2">
      <c r="A51" s="2"/>
      <c r="B51" s="16" t="s">
        <v>33</v>
      </c>
      <c r="C51" s="19">
        <f>SUBTOTAL(109,Table724486072849610871421354249[Projected Cost])</f>
        <v>180</v>
      </c>
      <c r="D51" s="19">
        <f>SUBTOTAL(109,Table724486072849610871421354249[Actual Cost])</f>
        <v>0</v>
      </c>
      <c r="E51" s="21">
        <f>SUBTOTAL(109,Table724486072849610871421354249[Difference])</f>
        <v>180</v>
      </c>
      <c r="F51" s="67"/>
      <c r="N51" s="47"/>
      <c r="O51" s="48"/>
      <c r="P51" s="44"/>
      <c r="Q51" s="47"/>
      <c r="R51" s="48"/>
      <c r="S51" s="58"/>
      <c r="T51" s="58"/>
      <c r="U51" s="64"/>
    </row>
    <row r="52" spans="1:24" ht="15.75" customHeight="1" thickBot="1" x14ac:dyDescent="0.25">
      <c r="A52" s="2"/>
      <c r="F52" s="67"/>
      <c r="N52" s="47"/>
      <c r="O52" s="48"/>
      <c r="P52" s="44"/>
      <c r="Q52" s="47"/>
      <c r="R52" s="48"/>
      <c r="S52" s="58"/>
      <c r="T52" s="58"/>
      <c r="U52" s="64"/>
    </row>
    <row r="53" spans="1:24" ht="15.75" customHeight="1" thickBot="1" x14ac:dyDescent="0.25">
      <c r="A53" s="2"/>
      <c r="B53" s="16" t="s">
        <v>23</v>
      </c>
      <c r="C53" s="17" t="s">
        <v>0</v>
      </c>
      <c r="D53" s="17" t="s">
        <v>1</v>
      </c>
      <c r="E53" s="18" t="s">
        <v>2</v>
      </c>
      <c r="F53" s="67"/>
      <c r="N53" s="49" t="s">
        <v>33</v>
      </c>
      <c r="O53" s="50">
        <f>SUM(O45:O52)</f>
        <v>0</v>
      </c>
      <c r="P53" s="56"/>
      <c r="Q53" s="49" t="s">
        <v>33</v>
      </c>
      <c r="R53" s="50">
        <f>SUM(R45:R52)</f>
        <v>0</v>
      </c>
      <c r="S53" s="59"/>
      <c r="T53" s="59"/>
      <c r="U53" s="65"/>
    </row>
    <row r="54" spans="1:24" ht="15.75" customHeight="1" thickBot="1" x14ac:dyDescent="0.25">
      <c r="A54" s="2"/>
      <c r="B54" s="22" t="s">
        <v>81</v>
      </c>
      <c r="C54" s="19">
        <v>50</v>
      </c>
      <c r="D54" s="19">
        <f>L72</f>
        <v>0</v>
      </c>
      <c r="E54" s="20">
        <f>Table225496173859710981522364350[Projected Cost]-Table225496173859710981522364350[Actual Cost]</f>
        <v>50</v>
      </c>
      <c r="F54" s="67"/>
    </row>
    <row r="55" spans="1:24" ht="15.75" customHeight="1" thickBot="1" x14ac:dyDescent="0.25">
      <c r="A55" s="2"/>
      <c r="B55" s="22" t="s">
        <v>16</v>
      </c>
      <c r="C55" s="19">
        <v>15</v>
      </c>
      <c r="D55" s="19">
        <f>O71</f>
        <v>0</v>
      </c>
      <c r="E55" s="20">
        <f>Table225496173859710981522364350[Projected Cost]-Table225496173859710981522364350[Actual Cost]</f>
        <v>15</v>
      </c>
      <c r="F55" s="13"/>
      <c r="K55" s="139" t="s">
        <v>75</v>
      </c>
      <c r="L55" s="140"/>
      <c r="M55" s="140"/>
      <c r="N55" s="140"/>
      <c r="O55" s="140"/>
      <c r="P55" s="140"/>
      <c r="Q55" s="140"/>
      <c r="R55" s="140"/>
      <c r="S55" s="140"/>
      <c r="T55" s="140"/>
      <c r="U55" s="140"/>
      <c r="V55" s="140"/>
      <c r="W55" s="140"/>
      <c r="X55" s="141"/>
    </row>
    <row r="56" spans="1:24" ht="15.75" customHeight="1" thickBot="1" x14ac:dyDescent="0.25">
      <c r="A56" s="2"/>
      <c r="B56" s="22" t="s">
        <v>17</v>
      </c>
      <c r="C56" s="19">
        <v>20</v>
      </c>
      <c r="D56" s="19">
        <f>R71</f>
        <v>0</v>
      </c>
      <c r="E56" s="20">
        <f>Table225496173859710981522364350[Projected Cost]-Table225496173859710981522364350[Actual Cost]</f>
        <v>20</v>
      </c>
      <c r="F56" s="13"/>
      <c r="K56" s="148" t="s">
        <v>12</v>
      </c>
      <c r="L56" s="149"/>
      <c r="M56" s="44"/>
      <c r="N56" s="148" t="s">
        <v>71</v>
      </c>
      <c r="O56" s="149"/>
      <c r="P56" s="44"/>
      <c r="Q56" s="142" t="s">
        <v>13</v>
      </c>
      <c r="R56" s="143"/>
      <c r="S56" s="44"/>
      <c r="T56" s="148" t="s">
        <v>49</v>
      </c>
      <c r="U56" s="149"/>
      <c r="V56" s="44"/>
      <c r="W56" s="142" t="s">
        <v>6</v>
      </c>
      <c r="X56" s="143"/>
    </row>
    <row r="57" spans="1:24" ht="15.75" customHeight="1" thickBot="1" x14ac:dyDescent="0.25">
      <c r="A57" s="2"/>
      <c r="B57" s="22" t="s">
        <v>21</v>
      </c>
      <c r="C57" s="19">
        <v>0</v>
      </c>
      <c r="D57" s="19">
        <f>U71</f>
        <v>0</v>
      </c>
      <c r="E57" s="20">
        <f>Table225496173859710981522364350[Projected Cost]-Table225496173859710981522364350[Actual Cost]</f>
        <v>0</v>
      </c>
      <c r="F57" s="13"/>
      <c r="K57" s="45" t="s">
        <v>38</v>
      </c>
      <c r="L57" s="46" t="s">
        <v>46</v>
      </c>
      <c r="M57" s="44"/>
      <c r="N57" s="45" t="s">
        <v>38</v>
      </c>
      <c r="O57" s="46" t="s">
        <v>46</v>
      </c>
      <c r="P57" s="44"/>
      <c r="Q57" s="45" t="s">
        <v>38</v>
      </c>
      <c r="R57" s="46" t="s">
        <v>46</v>
      </c>
      <c r="S57" s="44"/>
      <c r="T57" s="45" t="s">
        <v>38</v>
      </c>
      <c r="U57" s="46" t="s">
        <v>46</v>
      </c>
      <c r="V57" s="44"/>
      <c r="W57" s="45" t="s">
        <v>38</v>
      </c>
      <c r="X57" s="46" t="s">
        <v>46</v>
      </c>
    </row>
    <row r="58" spans="1:24" ht="15.75" customHeight="1" x14ac:dyDescent="0.2">
      <c r="A58" s="2"/>
      <c r="B58" s="22" t="s">
        <v>6</v>
      </c>
      <c r="C58" s="19">
        <v>100</v>
      </c>
      <c r="D58" s="19">
        <f>X75</f>
        <v>0</v>
      </c>
      <c r="E58" s="20">
        <f>Table225496173859710981522364350[Projected Cost]-Table225496173859710981522364350[Actual Cost]</f>
        <v>100</v>
      </c>
      <c r="F58" s="13"/>
      <c r="K58" s="47" t="s">
        <v>82</v>
      </c>
      <c r="L58" s="48"/>
      <c r="M58" s="44"/>
      <c r="N58" s="47" t="s">
        <v>73</v>
      </c>
      <c r="O58" s="48"/>
      <c r="P58" s="44"/>
      <c r="Q58" s="47" t="s">
        <v>74</v>
      </c>
      <c r="R58" s="48"/>
      <c r="S58" s="44"/>
      <c r="T58" s="47" t="s">
        <v>49</v>
      </c>
      <c r="U58" s="48"/>
      <c r="V58" s="44"/>
      <c r="W58" s="47"/>
      <c r="X58" s="48"/>
    </row>
    <row r="59" spans="1:24" ht="15.75" customHeight="1" thickBot="1" x14ac:dyDescent="0.25">
      <c r="A59" s="2"/>
      <c r="B59" s="37" t="s">
        <v>33</v>
      </c>
      <c r="C59" s="38">
        <f>SUBTOTAL(109,Table225496173859710981522364350[Projected Cost])</f>
        <v>185</v>
      </c>
      <c r="D59" s="39">
        <f>SUBTOTAL(109,Table225496173859710981522364350[Actual Cost])</f>
        <v>0</v>
      </c>
      <c r="E59" s="40">
        <f>SUBTOTAL(109,Table225496173859710981522364350[Difference])</f>
        <v>185</v>
      </c>
      <c r="F59" s="13"/>
      <c r="K59" s="47"/>
      <c r="L59" s="48"/>
      <c r="M59" s="44"/>
      <c r="N59" s="47"/>
      <c r="O59" s="48"/>
      <c r="P59" s="44"/>
      <c r="Q59" s="47"/>
      <c r="R59" s="48"/>
      <c r="S59" s="44"/>
      <c r="T59" s="47"/>
      <c r="U59" s="48"/>
      <c r="V59" s="44"/>
      <c r="W59" s="47"/>
      <c r="X59" s="48"/>
    </row>
    <row r="60" spans="1:24" ht="15.75" customHeight="1" thickBot="1" x14ac:dyDescent="0.25">
      <c r="A60" s="2"/>
      <c r="F60" s="13"/>
      <c r="K60" s="47"/>
      <c r="L60" s="48"/>
      <c r="M60" s="44"/>
      <c r="N60" s="49" t="s">
        <v>33</v>
      </c>
      <c r="O60" s="50">
        <f>SUM(O58:O59)</f>
        <v>0</v>
      </c>
      <c r="P60" s="44"/>
      <c r="Q60" s="47"/>
      <c r="R60" s="48"/>
      <c r="S60" s="44"/>
      <c r="T60" s="49" t="s">
        <v>33</v>
      </c>
      <c r="U60" s="50">
        <f>SUM(U58:U59)</f>
        <v>0</v>
      </c>
      <c r="V60" s="44"/>
      <c r="W60" s="47"/>
      <c r="X60" s="48"/>
    </row>
    <row r="61" spans="1:24" ht="15.75" customHeight="1" thickBot="1" x14ac:dyDescent="0.25">
      <c r="A61" s="2"/>
      <c r="F61" s="13"/>
      <c r="K61" s="49" t="s">
        <v>33</v>
      </c>
      <c r="L61" s="50">
        <f>SUM(L58:L60)</f>
        <v>0</v>
      </c>
      <c r="M61" s="44"/>
      <c r="N61" s="58"/>
      <c r="O61" s="58"/>
      <c r="P61" s="44"/>
      <c r="Q61" s="47"/>
      <c r="R61" s="48"/>
      <c r="S61" s="44"/>
      <c r="T61" s="58"/>
      <c r="U61" s="58"/>
      <c r="V61" s="44"/>
      <c r="W61" s="47"/>
      <c r="X61" s="48"/>
    </row>
    <row r="62" spans="1:24" ht="15.75" customHeight="1" x14ac:dyDescent="0.2">
      <c r="B62" s="102" t="s">
        <v>30</v>
      </c>
      <c r="C62" s="102"/>
      <c r="D62" s="102"/>
      <c r="E62" s="117">
        <f>SUM(C17,C25,C33,C37,C43,C51,C59)</f>
        <v>1090</v>
      </c>
      <c r="K62" s="62"/>
      <c r="L62" s="58"/>
      <c r="M62" s="44"/>
      <c r="N62" s="58"/>
      <c r="O62" s="58"/>
      <c r="P62" s="44"/>
      <c r="Q62" s="47"/>
      <c r="R62" s="48"/>
      <c r="S62" s="44"/>
      <c r="T62" s="58"/>
      <c r="U62" s="58"/>
      <c r="V62" s="44"/>
      <c r="W62" s="47"/>
      <c r="X62" s="48"/>
    </row>
    <row r="63" spans="1:24" ht="13.5" thickBot="1" x14ac:dyDescent="0.25">
      <c r="B63" s="102"/>
      <c r="C63" s="102"/>
      <c r="D63" s="102"/>
      <c r="E63" s="117"/>
      <c r="J63" s="58"/>
      <c r="K63" s="62"/>
      <c r="L63" s="58"/>
      <c r="M63" s="44"/>
      <c r="N63" s="58"/>
      <c r="O63" s="58"/>
      <c r="P63" s="44"/>
      <c r="Q63" s="47"/>
      <c r="R63" s="48"/>
      <c r="S63" s="44"/>
      <c r="T63" s="58"/>
      <c r="U63" s="58"/>
      <c r="V63" s="44"/>
      <c r="W63" s="47"/>
      <c r="X63" s="48"/>
    </row>
    <row r="64" spans="1:24" ht="13.5" thickBot="1" x14ac:dyDescent="0.25">
      <c r="B64" s="102" t="s">
        <v>31</v>
      </c>
      <c r="C64" s="102"/>
      <c r="D64" s="102"/>
      <c r="E64" s="117">
        <f>SUM(D17,D25,D33,D37,D43,D51,D59)</f>
        <v>0</v>
      </c>
      <c r="J64" s="58"/>
      <c r="K64" s="63"/>
      <c r="L64" s="59"/>
      <c r="M64" s="56"/>
      <c r="N64" s="59"/>
      <c r="O64" s="59"/>
      <c r="P64" s="56"/>
      <c r="Q64" s="49" t="s">
        <v>33</v>
      </c>
      <c r="R64" s="50">
        <f>SUM(R58:R63)</f>
        <v>0</v>
      </c>
      <c r="S64" s="56"/>
      <c r="T64" s="59"/>
      <c r="U64" s="59"/>
      <c r="V64" s="56"/>
      <c r="W64" s="49" t="s">
        <v>33</v>
      </c>
      <c r="X64" s="50">
        <f>SUM(X58:X63)</f>
        <v>0</v>
      </c>
    </row>
    <row r="65" spans="2:24" ht="13.5" thickBot="1" x14ac:dyDescent="0.25">
      <c r="B65" s="102"/>
      <c r="C65" s="102"/>
      <c r="D65" s="102"/>
      <c r="E65" s="117"/>
      <c r="J65" s="58"/>
      <c r="K65" s="58"/>
      <c r="L65" s="58"/>
      <c r="M65" s="58"/>
      <c r="N65" s="58"/>
      <c r="O65" s="58"/>
      <c r="P65" s="58"/>
      <c r="S65" s="58"/>
      <c r="T65" s="58"/>
      <c r="U65" s="58"/>
      <c r="V65" s="58"/>
    </row>
    <row r="66" spans="2:24" ht="13.5" thickBot="1" x14ac:dyDescent="0.25">
      <c r="B66" s="102" t="s">
        <v>32</v>
      </c>
      <c r="C66" s="102"/>
      <c r="D66" s="102"/>
      <c r="E66" s="117">
        <f>SUM(E17,E25,E33,E37,E43,E51,E59)</f>
        <v>1090</v>
      </c>
      <c r="J66" s="58"/>
      <c r="K66" s="139" t="s">
        <v>76</v>
      </c>
      <c r="L66" s="140"/>
      <c r="M66" s="140"/>
      <c r="N66" s="140"/>
      <c r="O66" s="140"/>
      <c r="P66" s="140"/>
      <c r="Q66" s="140"/>
      <c r="R66" s="140"/>
      <c r="S66" s="140"/>
      <c r="T66" s="140"/>
      <c r="U66" s="140"/>
      <c r="V66" s="140"/>
      <c r="W66" s="140"/>
      <c r="X66" s="141"/>
    </row>
    <row r="67" spans="2:24" ht="13.5" thickBot="1" x14ac:dyDescent="0.25">
      <c r="B67" s="102"/>
      <c r="C67" s="102"/>
      <c r="D67" s="102"/>
      <c r="E67" s="117"/>
      <c r="J67" s="58"/>
      <c r="K67" s="148" t="s">
        <v>41</v>
      </c>
      <c r="L67" s="149"/>
      <c r="M67" s="44"/>
      <c r="N67" s="148" t="s">
        <v>16</v>
      </c>
      <c r="O67" s="149"/>
      <c r="P67" s="44"/>
      <c r="Q67" s="142" t="s">
        <v>17</v>
      </c>
      <c r="R67" s="143"/>
      <c r="S67" s="44"/>
      <c r="T67" s="148" t="s">
        <v>77</v>
      </c>
      <c r="U67" s="149"/>
      <c r="V67" s="44"/>
      <c r="W67" s="142" t="s">
        <v>6</v>
      </c>
      <c r="X67" s="143"/>
    </row>
    <row r="68" spans="2:24" ht="13.5" thickBot="1" x14ac:dyDescent="0.25">
      <c r="J68" s="58"/>
      <c r="K68" s="45" t="s">
        <v>38</v>
      </c>
      <c r="L68" s="46" t="s">
        <v>46</v>
      </c>
      <c r="M68" s="44"/>
      <c r="N68" s="45" t="s">
        <v>38</v>
      </c>
      <c r="O68" s="46" t="s">
        <v>46</v>
      </c>
      <c r="P68" s="44"/>
      <c r="Q68" s="45" t="s">
        <v>38</v>
      </c>
      <c r="R68" s="46" t="s">
        <v>46</v>
      </c>
      <c r="S68" s="44"/>
      <c r="T68" s="45" t="s">
        <v>38</v>
      </c>
      <c r="U68" s="46" t="s">
        <v>46</v>
      </c>
      <c r="V68" s="44"/>
      <c r="W68" s="45" t="s">
        <v>38</v>
      </c>
      <c r="X68" s="46" t="s">
        <v>46</v>
      </c>
    </row>
    <row r="69" spans="2:24" x14ac:dyDescent="0.2">
      <c r="J69" s="58"/>
      <c r="K69" s="47" t="s">
        <v>72</v>
      </c>
      <c r="L69" s="48"/>
      <c r="M69" s="44"/>
      <c r="N69" s="47" t="s">
        <v>43</v>
      </c>
      <c r="O69" s="48"/>
      <c r="P69" s="44"/>
      <c r="Q69" s="47" t="s">
        <v>78</v>
      </c>
      <c r="R69" s="48"/>
      <c r="S69" s="44"/>
      <c r="T69" s="47" t="s">
        <v>79</v>
      </c>
      <c r="U69" s="48"/>
      <c r="V69" s="44"/>
      <c r="W69" s="47"/>
      <c r="X69" s="48"/>
    </row>
    <row r="70" spans="2:24" ht="13.5" thickBot="1" x14ac:dyDescent="0.25">
      <c r="K70" s="47"/>
      <c r="L70" s="48"/>
      <c r="M70" s="44"/>
      <c r="N70" s="47"/>
      <c r="O70" s="48"/>
      <c r="P70" s="44"/>
      <c r="Q70" s="47"/>
      <c r="R70" s="48"/>
      <c r="S70" s="44"/>
      <c r="T70" s="47"/>
      <c r="U70" s="48"/>
      <c r="V70" s="44"/>
      <c r="W70" s="47"/>
      <c r="X70" s="48"/>
    </row>
    <row r="71" spans="2:24" ht="13.5" thickBot="1" x14ac:dyDescent="0.25">
      <c r="K71" s="47"/>
      <c r="L71" s="48"/>
      <c r="M71" s="44"/>
      <c r="N71" s="49" t="s">
        <v>33</v>
      </c>
      <c r="O71" s="50">
        <f>SUM(O69:O70)</f>
        <v>0</v>
      </c>
      <c r="P71" s="44"/>
      <c r="Q71" s="49" t="s">
        <v>33</v>
      </c>
      <c r="R71" s="50">
        <f>SUM(R69:R70)</f>
        <v>0</v>
      </c>
      <c r="S71" s="44"/>
      <c r="T71" s="49" t="s">
        <v>33</v>
      </c>
      <c r="U71" s="50">
        <f>SUM(U69:U70)</f>
        <v>0</v>
      </c>
      <c r="V71" s="44"/>
      <c r="W71" s="47"/>
      <c r="X71" s="48"/>
    </row>
    <row r="72" spans="2:24" ht="13.5" thickBot="1" x14ac:dyDescent="0.25">
      <c r="K72" s="49" t="s">
        <v>33</v>
      </c>
      <c r="L72" s="50">
        <f>SUM(L69:L71)</f>
        <v>0</v>
      </c>
      <c r="M72" s="44"/>
      <c r="N72" s="58"/>
      <c r="O72" s="58"/>
      <c r="P72" s="44"/>
      <c r="Q72" s="58"/>
      <c r="R72" s="58"/>
      <c r="S72" s="44"/>
      <c r="T72" s="58"/>
      <c r="U72" s="58"/>
      <c r="V72" s="44"/>
      <c r="W72" s="47"/>
      <c r="X72" s="48"/>
    </row>
    <row r="73" spans="2:24" x14ac:dyDescent="0.2">
      <c r="K73" s="62"/>
      <c r="L73" s="58"/>
      <c r="M73" s="44"/>
      <c r="N73" s="58"/>
      <c r="O73" s="58"/>
      <c r="P73" s="44"/>
      <c r="Q73" s="58"/>
      <c r="R73" s="58"/>
      <c r="S73" s="44"/>
      <c r="T73" s="58"/>
      <c r="U73" s="58"/>
      <c r="V73" s="44"/>
      <c r="W73" s="47"/>
      <c r="X73" s="48"/>
    </row>
    <row r="74" spans="2:24" ht="13.5" thickBot="1" x14ac:dyDescent="0.25">
      <c r="K74" s="62"/>
      <c r="L74" s="58"/>
      <c r="M74" s="44"/>
      <c r="N74" s="58"/>
      <c r="O74" s="58"/>
      <c r="P74" s="44"/>
      <c r="Q74" s="58"/>
      <c r="R74" s="58"/>
      <c r="S74" s="44"/>
      <c r="T74" s="58"/>
      <c r="U74" s="58"/>
      <c r="V74" s="44"/>
      <c r="W74" s="47"/>
      <c r="X74" s="48"/>
    </row>
    <row r="75" spans="2:24" ht="13.5" thickBot="1" x14ac:dyDescent="0.25">
      <c r="K75" s="63"/>
      <c r="L75" s="59"/>
      <c r="M75" s="56"/>
      <c r="N75" s="59"/>
      <c r="O75" s="59"/>
      <c r="P75" s="56"/>
      <c r="Q75" s="59"/>
      <c r="R75" s="59"/>
      <c r="S75" s="56"/>
      <c r="T75" s="59"/>
      <c r="U75" s="59"/>
      <c r="V75" s="56"/>
      <c r="W75" s="49" t="s">
        <v>33</v>
      </c>
      <c r="X75" s="50">
        <f>SUM(X69:X74)</f>
        <v>0</v>
      </c>
    </row>
  </sheetData>
  <mergeCells count="64">
    <mergeCell ref="K66:X66"/>
    <mergeCell ref="K67:L67"/>
    <mergeCell ref="N67:O67"/>
    <mergeCell ref="Q67:R67"/>
    <mergeCell ref="T67:U67"/>
    <mergeCell ref="W67:X67"/>
    <mergeCell ref="B62:D63"/>
    <mergeCell ref="E62:E63"/>
    <mergeCell ref="B64:D65"/>
    <mergeCell ref="E64:E65"/>
    <mergeCell ref="B66:D67"/>
    <mergeCell ref="E66:E67"/>
    <mergeCell ref="B44:E44"/>
    <mergeCell ref="K55:X55"/>
    <mergeCell ref="K56:L56"/>
    <mergeCell ref="N56:O56"/>
    <mergeCell ref="Q56:R56"/>
    <mergeCell ref="T56:U56"/>
    <mergeCell ref="W56:X56"/>
    <mergeCell ref="B34:E34"/>
    <mergeCell ref="B38:E38"/>
    <mergeCell ref="K42:L42"/>
    <mergeCell ref="N42:U42"/>
    <mergeCell ref="N43:O43"/>
    <mergeCell ref="Q43:R43"/>
    <mergeCell ref="T43:U43"/>
    <mergeCell ref="B26:E26"/>
    <mergeCell ref="K31:X31"/>
    <mergeCell ref="K32:L32"/>
    <mergeCell ref="N32:O32"/>
    <mergeCell ref="Q32:R32"/>
    <mergeCell ref="T32:U32"/>
    <mergeCell ref="W32:X32"/>
    <mergeCell ref="K24:X24"/>
    <mergeCell ref="K25:L25"/>
    <mergeCell ref="N25:O25"/>
    <mergeCell ref="Q25:R25"/>
    <mergeCell ref="T25:U25"/>
    <mergeCell ref="W25:X25"/>
    <mergeCell ref="H11:I11"/>
    <mergeCell ref="K11:X11"/>
    <mergeCell ref="K12:L12"/>
    <mergeCell ref="N12:O12"/>
    <mergeCell ref="Q12:R12"/>
    <mergeCell ref="T12:U12"/>
    <mergeCell ref="W12:X12"/>
    <mergeCell ref="B7:B9"/>
    <mergeCell ref="C7:D7"/>
    <mergeCell ref="C8:D8"/>
    <mergeCell ref="G8:K9"/>
    <mergeCell ref="L8:L9"/>
    <mergeCell ref="C9:D9"/>
    <mergeCell ref="Q5:R5"/>
    <mergeCell ref="T5:U5"/>
    <mergeCell ref="W5:X5"/>
    <mergeCell ref="C6:D6"/>
    <mergeCell ref="G6:K7"/>
    <mergeCell ref="L6:L7"/>
    <mergeCell ref="B3:D3"/>
    <mergeCell ref="B4:B6"/>
    <mergeCell ref="C4:D4"/>
    <mergeCell ref="G4:K5"/>
    <mergeCell ref="L4:L5"/>
    <mergeCell ref="C5:D5"/>
  </mergeCells>
  <conditionalFormatting sqref="E54:E59 E28:E33 E20:E25 E36:E37 E40:E43 E46:E51">
    <cfRule type="iconSet" priority="2">
      <iconSet iconSet="3Signs">
        <cfvo type="percent" val="0"/>
        <cfvo type="num" val="-20"/>
        <cfvo type="num" val="0"/>
      </iconSet>
    </cfRule>
  </conditionalFormatting>
  <conditionalFormatting sqref="E12:E18">
    <cfRule type="iconSet" priority="1">
      <iconSet iconSet="3Signs">
        <cfvo type="percent" val="0"/>
        <cfvo type="num" val="-20"/>
        <cfvo type="num" val="0"/>
      </iconSet>
    </cfRule>
  </conditionalFormatting>
  <pageMargins left="0.5" right="0.5" top="0.5" bottom="0.5" header="0.5" footer="0.5"/>
  <pageSetup orientation="portrait" r:id="rId1"/>
  <headerFooter alignWithMargins="0"/>
  <ignoredErrors>
    <ignoredError sqref="D28:D32 D40:D42 D46:D50" calculatedColumn="1"/>
  </ignoredErrors>
  <drawing r:id="rId2"/>
  <tableParts count="7">
    <tablePart r:id="rId3"/>
    <tablePart r:id="rId4"/>
    <tablePart r:id="rId5"/>
    <tablePart r:id="rId6"/>
    <tablePart r:id="rId7"/>
    <tablePart r:id="rId8"/>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F67"/>
  <sheetViews>
    <sheetView showGridLines="0" workbookViewId="0">
      <pane ySplit="2" topLeftCell="A3" activePane="bottomLeft" state="frozen"/>
      <selection pane="bottomLeft" activeCell="Q9" sqref="Q9"/>
    </sheetView>
  </sheetViews>
  <sheetFormatPr defaultColWidth="8.7109375" defaultRowHeight="12.75" x14ac:dyDescent="0.2"/>
  <cols>
    <col min="1" max="1" width="1.5703125" customWidth="1"/>
    <col min="2" max="2" width="32.28515625" customWidth="1"/>
    <col min="3" max="3" width="16.42578125" customWidth="1"/>
    <col min="4" max="4" width="13.42578125" customWidth="1"/>
    <col min="5" max="5" width="12.42578125" customWidth="1"/>
    <col min="6" max="6" width="2" customWidth="1"/>
    <col min="7" max="7" width="5.7109375" customWidth="1"/>
    <col min="8" max="8" width="11.42578125" bestFit="1" customWidth="1"/>
    <col min="9" max="9" width="7.42578125" bestFit="1" customWidth="1"/>
    <col min="10" max="10" width="6.5703125" customWidth="1"/>
    <col min="11" max="11" width="13.42578125" customWidth="1"/>
    <col min="12" max="12" width="12.42578125" customWidth="1"/>
    <col min="13" max="13" width="3.28515625" customWidth="1"/>
    <col min="14" max="14" width="11.5703125" bestFit="1" customWidth="1"/>
    <col min="15" max="15" width="7.42578125" bestFit="1" customWidth="1"/>
    <col min="16" max="16" width="2.7109375" customWidth="1"/>
    <col min="17" max="17" width="9.5703125" bestFit="1" customWidth="1"/>
    <col min="18" max="18" width="7.42578125" bestFit="1" customWidth="1"/>
    <col min="19" max="19" width="4.28515625" customWidth="1"/>
    <col min="20" max="20" width="11.42578125" bestFit="1" customWidth="1"/>
    <col min="21" max="21" width="7.42578125" bestFit="1" customWidth="1"/>
    <col min="22" max="22" width="3.7109375" customWidth="1"/>
    <col min="23" max="23" width="14.5703125" bestFit="1" customWidth="1"/>
    <col min="24" max="24" width="7.42578125" bestFit="1" customWidth="1"/>
  </cols>
  <sheetData>
    <row r="1" spans="1:32" ht="8.25" customHeight="1" x14ac:dyDescent="0.6">
      <c r="A1" s="3"/>
      <c r="B1" s="1"/>
      <c r="C1" s="1"/>
      <c r="D1" s="1"/>
      <c r="E1" s="1"/>
      <c r="F1" s="1"/>
      <c r="G1" s="1"/>
      <c r="H1" s="1"/>
      <c r="I1" s="1"/>
      <c r="J1" s="1"/>
      <c r="K1" s="1"/>
      <c r="L1" s="2"/>
    </row>
    <row r="2" spans="1:32" ht="52.15" customHeight="1" x14ac:dyDescent="0.2">
      <c r="A2" s="3"/>
      <c r="B2" s="35"/>
      <c r="C2" s="69" t="str">
        <f>("-  School Year Summary Budget")</f>
        <v>-  School Year Summary Budget</v>
      </c>
      <c r="E2" s="35"/>
      <c r="F2" s="35"/>
      <c r="G2" s="35"/>
      <c r="H2" s="35"/>
      <c r="I2" s="35"/>
      <c r="J2" s="35"/>
      <c r="K2" s="35"/>
      <c r="L2" s="35"/>
    </row>
    <row r="3" spans="1:32" ht="8.25" customHeight="1" x14ac:dyDescent="0.2">
      <c r="A3" s="2"/>
      <c r="B3" s="98"/>
      <c r="C3" s="98"/>
      <c r="D3" s="98"/>
      <c r="E3" s="4"/>
      <c r="F3" s="5"/>
      <c r="G3" s="4"/>
      <c r="H3" s="6"/>
      <c r="I3" s="6"/>
      <c r="J3" s="6"/>
      <c r="K3" s="7"/>
      <c r="L3" s="8"/>
    </row>
    <row r="4" spans="1:32" ht="16.149999999999999" customHeight="1" x14ac:dyDescent="0.2">
      <c r="A4" s="2"/>
      <c r="B4" s="114" t="s">
        <v>29</v>
      </c>
      <c r="C4" s="105" t="s">
        <v>3</v>
      </c>
      <c r="D4" s="106"/>
      <c r="E4" s="15">
        <f>Sep!E4+Oct!E4+Nov!E4+Dec!E4+Jan!E4+Feb!E4+Mar!E4+Apr!E4</f>
        <v>2400</v>
      </c>
      <c r="F4" s="5"/>
      <c r="G4" s="107" t="s">
        <v>34</v>
      </c>
      <c r="H4" s="108"/>
      <c r="I4" s="108"/>
      <c r="J4" s="108"/>
      <c r="K4" s="109"/>
      <c r="L4" s="103">
        <f>E6-E62</f>
        <v>-13120</v>
      </c>
      <c r="Y4" s="23"/>
      <c r="Z4" s="23"/>
      <c r="AA4" s="23"/>
      <c r="AB4" s="23"/>
      <c r="AC4" s="23"/>
      <c r="AD4" s="23"/>
      <c r="AE4" s="23"/>
      <c r="AF4" s="23"/>
    </row>
    <row r="5" spans="1:32" ht="16.149999999999999" customHeight="1" x14ac:dyDescent="0.2">
      <c r="A5" s="2"/>
      <c r="B5" s="115"/>
      <c r="C5" s="105" t="s">
        <v>18</v>
      </c>
      <c r="D5" s="106"/>
      <c r="E5" s="15">
        <f>Sep!E5+Oct!E5+Nov!E5+Dec!E5+Jan!E5+Feb!E5+Mar!E5+Apr!E5</f>
        <v>0</v>
      </c>
      <c r="F5" s="5"/>
      <c r="G5" s="110"/>
      <c r="H5" s="111"/>
      <c r="I5" s="111"/>
      <c r="J5" s="111"/>
      <c r="K5" s="112"/>
      <c r="L5" s="104"/>
      <c r="Q5" s="99"/>
      <c r="R5" s="99"/>
      <c r="S5" s="44"/>
      <c r="T5" s="99"/>
      <c r="U5" s="99"/>
      <c r="V5" s="44"/>
      <c r="W5" s="99"/>
      <c r="X5" s="99"/>
      <c r="Y5" s="44"/>
      <c r="Z5" s="23"/>
      <c r="AA5" s="23"/>
      <c r="AB5" s="23"/>
      <c r="AC5" s="23"/>
      <c r="AD5" s="23"/>
      <c r="AE5" s="23"/>
      <c r="AF5" s="23"/>
    </row>
    <row r="6" spans="1:32" ht="16.149999999999999" customHeight="1" x14ac:dyDescent="0.2">
      <c r="A6" s="2"/>
      <c r="B6" s="116"/>
      <c r="C6" s="100" t="s">
        <v>19</v>
      </c>
      <c r="D6" s="101"/>
      <c r="E6" s="66">
        <f>Sep!E6+Oct!E6+Nov!E6+Dec!E6+Jan!E6+Feb!E6+Mar!E6+Apr!E6</f>
        <v>2400</v>
      </c>
      <c r="F6" s="5"/>
      <c r="G6" s="102" t="s">
        <v>35</v>
      </c>
      <c r="H6" s="102"/>
      <c r="I6" s="102"/>
      <c r="J6" s="102"/>
      <c r="K6" s="102"/>
      <c r="L6" s="103">
        <f>E9-E64</f>
        <v>0</v>
      </c>
      <c r="Q6" s="44"/>
      <c r="R6" s="44"/>
      <c r="S6" s="44"/>
      <c r="T6" s="44"/>
      <c r="U6" s="44"/>
      <c r="V6" s="44"/>
      <c r="W6" s="44"/>
      <c r="X6" s="44"/>
      <c r="Y6" s="44"/>
      <c r="Z6" s="23"/>
      <c r="AA6" s="23"/>
      <c r="AB6" s="23"/>
      <c r="AC6" s="23"/>
      <c r="AD6" s="23"/>
      <c r="AE6" s="23"/>
      <c r="AF6" s="23"/>
    </row>
    <row r="7" spans="1:32" ht="16.149999999999999" customHeight="1" x14ac:dyDescent="0.2">
      <c r="A7" s="2"/>
      <c r="B7" s="114" t="s">
        <v>28</v>
      </c>
      <c r="C7" s="105" t="s">
        <v>3</v>
      </c>
      <c r="D7" s="106"/>
      <c r="E7" s="15">
        <f>Sep!E7+Oct!E7+Nov!E7+Dec!E7+Jan!E7+Feb!E7+Mar!E7+Apr!E7</f>
        <v>0</v>
      </c>
      <c r="F7" s="5"/>
      <c r="G7" s="102"/>
      <c r="H7" s="102"/>
      <c r="I7" s="102"/>
      <c r="J7" s="102"/>
      <c r="K7" s="102"/>
      <c r="L7" s="104"/>
      <c r="P7" s="34"/>
      <c r="Q7" s="44"/>
      <c r="R7" s="44"/>
      <c r="S7" s="44"/>
      <c r="T7" s="44"/>
      <c r="U7" s="44"/>
      <c r="V7" s="44"/>
      <c r="W7" s="44"/>
      <c r="X7" s="44"/>
      <c r="Y7" s="44"/>
    </row>
    <row r="8" spans="1:32" ht="16.149999999999999" customHeight="1" x14ac:dyDescent="0.2">
      <c r="A8" s="2"/>
      <c r="B8" s="115"/>
      <c r="C8" s="105" t="s">
        <v>18</v>
      </c>
      <c r="D8" s="106"/>
      <c r="E8" s="15">
        <f>Sep!E8+Oct!E8+Nov!E8+Dec!E8+Jan!E8+Feb!E8+Mar!E8+Apr!E8</f>
        <v>0</v>
      </c>
      <c r="F8" s="5"/>
      <c r="G8" s="102" t="s">
        <v>36</v>
      </c>
      <c r="H8" s="102"/>
      <c r="I8" s="102"/>
      <c r="J8" s="102"/>
      <c r="K8" s="102"/>
      <c r="L8" s="117">
        <f>L6-L4</f>
        <v>13120</v>
      </c>
      <c r="Q8" s="44"/>
      <c r="R8" s="44"/>
      <c r="S8" s="44"/>
      <c r="T8" s="44"/>
      <c r="U8" s="44"/>
      <c r="V8" s="44"/>
      <c r="W8" s="44"/>
      <c r="X8" s="44"/>
      <c r="Y8" s="44"/>
    </row>
    <row r="9" spans="1:32" ht="16.149999999999999" customHeight="1" x14ac:dyDescent="0.2">
      <c r="A9" s="2"/>
      <c r="B9" s="116"/>
      <c r="C9" s="100" t="s">
        <v>19</v>
      </c>
      <c r="D9" s="101"/>
      <c r="E9" s="66">
        <f>Sep!E9+Oct!E9+Nov!E9+Dec!E9+Jan!E9+Feb!E9+Mar!E9+Apr!E9</f>
        <v>0</v>
      </c>
      <c r="F9" s="5"/>
      <c r="G9" s="102"/>
      <c r="H9" s="102"/>
      <c r="I9" s="102"/>
      <c r="J9" s="102"/>
      <c r="K9" s="102"/>
      <c r="L9" s="117"/>
      <c r="Q9" s="60"/>
      <c r="R9" s="61"/>
      <c r="S9" s="44"/>
      <c r="T9" s="60"/>
      <c r="U9" s="61"/>
      <c r="V9" s="44"/>
      <c r="W9" s="60"/>
      <c r="X9" s="61"/>
      <c r="Y9" s="44"/>
    </row>
    <row r="10" spans="1:32" ht="16.149999999999999" customHeight="1" x14ac:dyDescent="0.2">
      <c r="A10" s="2"/>
      <c r="B10" s="68"/>
      <c r="C10" s="68"/>
      <c r="D10" s="9"/>
      <c r="E10" s="10"/>
      <c r="F10" s="5"/>
      <c r="G10" s="11"/>
      <c r="H10" s="11"/>
      <c r="I10" s="11"/>
      <c r="J10" s="11"/>
      <c r="K10" s="11"/>
      <c r="L10" s="12"/>
      <c r="R10" s="23"/>
    </row>
    <row r="11" spans="1:32" ht="16.149999999999999" customHeight="1" x14ac:dyDescent="0.2">
      <c r="A11" s="2"/>
      <c r="B11" s="16" t="s">
        <v>80</v>
      </c>
      <c r="C11" s="17" t="s">
        <v>0</v>
      </c>
      <c r="D11" s="17" t="s">
        <v>1</v>
      </c>
      <c r="E11" s="18" t="s">
        <v>2</v>
      </c>
      <c r="F11" s="5"/>
      <c r="G11" s="11"/>
    </row>
    <row r="12" spans="1:32" ht="16.149999999999999" customHeight="1" x14ac:dyDescent="0.2">
      <c r="A12" s="2"/>
      <c r="B12" s="22" t="s">
        <v>50</v>
      </c>
      <c r="C12" s="19">
        <f>'Starting Page'!I21</f>
        <v>5000</v>
      </c>
      <c r="D12" s="19">
        <f>Table1143850627486982[[#This Row],[Actual Cost]]+Table11438506274869829[[#This Row],[Actual Cost]]+Table1143850627486982916[[#This Row],[Actual Cost]]+Table114385062748698291623[[#This Row],[Actual Cost]]+Table114385062748698230[[#This Row],[Actual Cost]]+Table11438506274869829162337[[#This Row],[Actual Cost]]+Table1143850627486982916233744[[#This Row],[Actual Cost]]+Table114385062748698291623374451[[#This Row],[Actual Cost]]</f>
        <v>0</v>
      </c>
      <c r="E12" s="20">
        <f>Table114385062748698265[Projected Cost]-Table114385062748698265[Actual Cost]</f>
        <v>5000</v>
      </c>
      <c r="F12" s="5"/>
      <c r="H12" s="121" t="s">
        <v>0</v>
      </c>
      <c r="I12" s="121"/>
      <c r="J12" s="121"/>
      <c r="K12" s="121"/>
      <c r="L12" s="121"/>
      <c r="M12" s="135">
        <f>E62</f>
        <v>15520</v>
      </c>
      <c r="N12" s="135"/>
      <c r="O12" s="135"/>
      <c r="P12" s="135"/>
      <c r="Q12" s="135"/>
    </row>
    <row r="13" spans="1:32" ht="16.149999999999999" customHeight="1" x14ac:dyDescent="0.2">
      <c r="A13" s="2"/>
      <c r="B13" s="22" t="s">
        <v>51</v>
      </c>
      <c r="C13" s="19">
        <f>Table1143850627486982[[#This Row],[Projected Cost]]+Table11438506274869829[[#This Row],[Projected Cost]]+Table1143850627486982916[[#This Row],[Projected Cost]]+Table114385062748698291623[[#This Row],[Projected Cost]]+Table114385062748698230[[#This Row],[Projected Cost]]+Table11438506274869829162337[[#This Row],[Projected Cost]]+Table1143850627486982916233744[[#This Row],[Projected Cost]]+Table114385062748698291623374451[[#This Row],[Projected Cost]]</f>
        <v>200</v>
      </c>
      <c r="D13" s="19">
        <f>Table1143850627486982[[#This Row],[Actual Cost]]+Table11438506274869829[[#This Row],[Actual Cost]]+Table1143850627486982916[[#This Row],[Actual Cost]]+Table114385062748698291623[[#This Row],[Actual Cost]]+Table114385062748698230[[#This Row],[Actual Cost]]+Table11438506274869829162337[[#This Row],[Actual Cost]]+Table1143850627486982916233744[[#This Row],[Actual Cost]]+Table114385062748698291623374451[[#This Row],[Actual Cost]]</f>
        <v>0</v>
      </c>
      <c r="E13" s="20">
        <f>Table114385062748698265[Projected Cost]-Table114385062748698265[Actual Cost]</f>
        <v>200</v>
      </c>
      <c r="F13" s="5"/>
      <c r="H13" s="121"/>
      <c r="I13" s="121"/>
      <c r="J13" s="121"/>
      <c r="K13" s="121"/>
      <c r="L13" s="121"/>
      <c r="M13" s="135"/>
      <c r="N13" s="135"/>
      <c r="O13" s="135"/>
      <c r="P13" s="135"/>
      <c r="Q13" s="135"/>
    </row>
    <row r="14" spans="1:32" ht="16.149999999999999" customHeight="1" x14ac:dyDescent="0.2">
      <c r="A14" s="2"/>
      <c r="B14" s="22" t="s">
        <v>52</v>
      </c>
      <c r="C14" s="19">
        <f>Table1143850627486982[[#This Row],[Projected Cost]]+Table11438506274869829[[#This Row],[Projected Cost]]+Table1143850627486982916[[#This Row],[Projected Cost]]+Table114385062748698291623[[#This Row],[Projected Cost]]+Table114385062748698230[[#This Row],[Projected Cost]]+Table11438506274869829162337[[#This Row],[Projected Cost]]+Table1143850627486982916233744[[#This Row],[Projected Cost]]+Table114385062748698291623374451[[#This Row],[Projected Cost]]</f>
        <v>1500</v>
      </c>
      <c r="D14" s="19">
        <f>Table1143850627486982[[#This Row],[Actual Cost]]+Table11438506274869829[[#This Row],[Actual Cost]]+Table1143850627486982916[[#This Row],[Actual Cost]]+Table114385062748698291623[[#This Row],[Actual Cost]]+Table114385062748698230[[#This Row],[Actual Cost]]+Table11438506274869829162337[[#This Row],[Actual Cost]]+Table1143850627486982916233744[[#This Row],[Actual Cost]]+Table114385062748698291623374451[[#This Row],[Actual Cost]]</f>
        <v>0</v>
      </c>
      <c r="E14" s="20">
        <f>Table114385062748698265[Projected Cost]-Table114385062748698265[Actual Cost]</f>
        <v>1500</v>
      </c>
      <c r="F14" s="5"/>
      <c r="H14" s="121"/>
      <c r="I14" s="121"/>
      <c r="J14" s="121"/>
      <c r="K14" s="121"/>
      <c r="L14" s="121"/>
      <c r="M14" s="135"/>
      <c r="N14" s="135"/>
      <c r="O14" s="135"/>
      <c r="P14" s="135"/>
      <c r="Q14" s="135"/>
    </row>
    <row r="15" spans="1:32" ht="16.149999999999999" customHeight="1" x14ac:dyDescent="0.2">
      <c r="A15" s="2"/>
      <c r="B15" s="22" t="s">
        <v>5</v>
      </c>
      <c r="C15" s="19">
        <f>Table1143850627486982[[#This Row],[Projected Cost]]+Table11438506274869829[[#This Row],[Projected Cost]]+Table1143850627486982916[[#This Row],[Projected Cost]]+Table114385062748698291623[[#This Row],[Projected Cost]]+Table114385062748698230[[#This Row],[Projected Cost]]+Table11438506274869829162337[[#This Row],[Projected Cost]]+Table1143850627486982916233744[[#This Row],[Projected Cost]]+Table114385062748698291623374451[[#This Row],[Projected Cost]]</f>
        <v>500</v>
      </c>
      <c r="D15" s="19">
        <f>Table1143850627486982[[#This Row],[Actual Cost]]+Table11438506274869829[[#This Row],[Actual Cost]]+Table1143850627486982916[[#This Row],[Actual Cost]]+Table114385062748698291623[[#This Row],[Actual Cost]]+Table114385062748698230[[#This Row],[Actual Cost]]+Table11438506274869829162337[[#This Row],[Actual Cost]]+Table1143850627486982916233744[[#This Row],[Actual Cost]]+Table114385062748698291623374451[[#This Row],[Actual Cost]]</f>
        <v>0</v>
      </c>
      <c r="E15" s="20">
        <f>Table114385062748698265[Projected Cost]-Table114385062748698265[Actual Cost]</f>
        <v>500</v>
      </c>
      <c r="F15" s="5"/>
      <c r="H15" s="121"/>
      <c r="I15" s="121"/>
      <c r="J15" s="121"/>
      <c r="K15" s="121"/>
      <c r="L15" s="121"/>
      <c r="M15" s="135"/>
      <c r="N15" s="135"/>
      <c r="O15" s="135"/>
      <c r="P15" s="135"/>
      <c r="Q15" s="135"/>
    </row>
    <row r="16" spans="1:32" ht="16.149999999999999" customHeight="1" x14ac:dyDescent="0.2">
      <c r="A16" s="2"/>
      <c r="B16" s="22" t="s">
        <v>6</v>
      </c>
      <c r="C16" s="19">
        <f>Table1143850627486982[[#This Row],[Projected Cost]]+Table11438506274869829[[#This Row],[Projected Cost]]+Table1143850627486982916[[#This Row],[Projected Cost]]+Table114385062748698291623[[#This Row],[Projected Cost]]+Table114385062748698230[[#This Row],[Projected Cost]]+Table11438506274869829162337[[#This Row],[Projected Cost]]+Table1143850627486982916233744[[#This Row],[Projected Cost]]+Table114385062748698291623374451[[#This Row],[Projected Cost]]</f>
        <v>400</v>
      </c>
      <c r="D16" s="19">
        <f>Table1143850627486982[[#This Row],[Actual Cost]]+Table11438506274869829[[#This Row],[Actual Cost]]+Table1143850627486982916[[#This Row],[Actual Cost]]+Table114385062748698291623[[#This Row],[Actual Cost]]+Table114385062748698230[[#This Row],[Actual Cost]]+Table11438506274869829162337[[#This Row],[Actual Cost]]+Table1143850627486982916233744[[#This Row],[Actual Cost]]+Table114385062748698291623374451[[#This Row],[Actual Cost]]</f>
        <v>0</v>
      </c>
      <c r="E16" s="20">
        <f>Table114385062748698265[Projected Cost]-Table114385062748698265[Actual Cost]</f>
        <v>400</v>
      </c>
      <c r="F16" s="5"/>
      <c r="H16" s="118" t="s">
        <v>96</v>
      </c>
      <c r="I16" s="119"/>
      <c r="J16" s="119"/>
      <c r="K16" s="119"/>
      <c r="L16" s="119"/>
      <c r="M16" s="133">
        <f>E6+'Starting Page'!I18</f>
        <v>27400</v>
      </c>
      <c r="N16" s="133"/>
      <c r="O16" s="133"/>
      <c r="P16" s="133"/>
      <c r="Q16" s="134"/>
    </row>
    <row r="17" spans="1:17" ht="16.149999999999999" customHeight="1" x14ac:dyDescent="0.2">
      <c r="A17" s="2"/>
      <c r="B17" s="37" t="s">
        <v>33</v>
      </c>
      <c r="C17" s="39">
        <f>SUBTOTAL(109,Table114385062748698265[Projected Cost])</f>
        <v>7600</v>
      </c>
      <c r="D17" s="39">
        <f>SUBTOTAL(109,Table114385062748698265[Actual Cost])</f>
        <v>0</v>
      </c>
      <c r="E17" s="40">
        <f>SUBTOTAL(109,Table114385062748698265[Difference])</f>
        <v>7600</v>
      </c>
      <c r="F17" s="5"/>
      <c r="H17" s="120"/>
      <c r="I17" s="121"/>
      <c r="J17" s="121"/>
      <c r="K17" s="121"/>
      <c r="L17" s="121"/>
      <c r="M17" s="135"/>
      <c r="N17" s="135"/>
      <c r="O17" s="135"/>
      <c r="P17" s="135"/>
      <c r="Q17" s="136"/>
    </row>
    <row r="18" spans="1:17" ht="16.149999999999999" customHeight="1" x14ac:dyDescent="0.2">
      <c r="A18" s="2"/>
      <c r="B18" s="16"/>
      <c r="C18" s="19"/>
      <c r="D18" s="19"/>
      <c r="E18" s="21"/>
      <c r="F18" s="5"/>
      <c r="H18" s="120"/>
      <c r="I18" s="121"/>
      <c r="J18" s="121"/>
      <c r="K18" s="121"/>
      <c r="L18" s="121"/>
      <c r="M18" s="135"/>
      <c r="N18" s="135"/>
      <c r="O18" s="135"/>
      <c r="P18" s="135"/>
      <c r="Q18" s="136"/>
    </row>
    <row r="19" spans="1:17" ht="16.149999999999999" customHeight="1" x14ac:dyDescent="0.2">
      <c r="A19" s="2"/>
      <c r="B19" s="16" t="s">
        <v>22</v>
      </c>
      <c r="C19" s="17" t="s">
        <v>0</v>
      </c>
      <c r="D19" s="17" t="s">
        <v>1</v>
      </c>
      <c r="E19" s="18" t="s">
        <v>2</v>
      </c>
      <c r="F19" s="14"/>
      <c r="H19" s="122"/>
      <c r="I19" s="123"/>
      <c r="J19" s="123"/>
      <c r="K19" s="123"/>
      <c r="L19" s="123"/>
      <c r="M19" s="137"/>
      <c r="N19" s="137"/>
      <c r="O19" s="137"/>
      <c r="P19" s="137"/>
      <c r="Q19" s="138"/>
    </row>
    <row r="20" spans="1:17" ht="15.75" customHeight="1" x14ac:dyDescent="0.2">
      <c r="A20" s="2"/>
      <c r="B20" s="22" t="s">
        <v>48</v>
      </c>
      <c r="C20" s="19">
        <f>Table114385062748698[[#This Row],[Projected Cost]]+Table1143850627486983[[#This Row],[Projected Cost]]+Table114385062748698310[[#This Row],[Projected Cost]]+Table11438506274869831017[[#This Row],[Projected Cost]]+Table11438506274869824[[#This Row],[Projected Cost]]+Table1143850627486983101731[[#This Row],[Projected Cost]]+Table114385062748698310173138[[#This Row],[Projected Cost]]+Table11438506274869831017313845[[#This Row],[Projected Cost]]</f>
        <v>0</v>
      </c>
      <c r="D20" s="19">
        <f>Table114385062748698[[#This Row],[Actual Cost]]+Table1143850627486983[[#This Row],[Actual Cost]]+Table114385062748698310[[#This Row],[Actual Cost]]+Table11438506274869831017[[#This Row],[Actual Cost]]+Table11438506274869824[[#This Row],[Actual Cost]]+Table1143850627486983101731[[#This Row],[Actual Cost]]+Table114385062748698310173138[[#This Row],[Actual Cost]]+Table11438506274869831017313845[[#This Row],[Actual Cost]]</f>
        <v>0</v>
      </c>
      <c r="E20" s="20">
        <f>Table11438506274869859[Projected Cost]-Table11438506274869859[Actual Cost]</f>
        <v>0</v>
      </c>
      <c r="F20" s="67"/>
      <c r="H20" s="118" t="s">
        <v>107</v>
      </c>
      <c r="I20" s="119"/>
      <c r="J20" s="119"/>
      <c r="K20" s="119"/>
      <c r="L20" s="119"/>
      <c r="M20" s="124">
        <f>M16-M12</f>
        <v>11880</v>
      </c>
      <c r="N20" s="125"/>
      <c r="O20" s="125"/>
      <c r="P20" s="125"/>
      <c r="Q20" s="126"/>
    </row>
    <row r="21" spans="1:17" ht="15.75" customHeight="1" x14ac:dyDescent="0.2">
      <c r="A21" s="2"/>
      <c r="B21" s="22" t="s">
        <v>4</v>
      </c>
      <c r="C21" s="19">
        <f>Table114385062748698[[#This Row],[Projected Cost]]+Table1143850627486983[[#This Row],[Projected Cost]]+Table114385062748698310[[#This Row],[Projected Cost]]+Table11438506274869831017[[#This Row],[Projected Cost]]+Table11438506274869824[[#This Row],[Projected Cost]]+Table1143850627486983101731[[#This Row],[Projected Cost]]+Table114385062748698310173138[[#This Row],[Projected Cost]]+Table11438506274869831017313845[[#This Row],[Projected Cost]]</f>
        <v>560</v>
      </c>
      <c r="D21" s="19">
        <f>Table114385062748698[[#This Row],[Actual Cost]]+Table1143850627486983[[#This Row],[Actual Cost]]+Table114385062748698310[[#This Row],[Actual Cost]]+Table11438506274869831017[[#This Row],[Actual Cost]]+Table11438506274869824[[#This Row],[Actual Cost]]+Table1143850627486983101731[[#This Row],[Actual Cost]]+Table114385062748698310173138[[#This Row],[Actual Cost]]+Table11438506274869831017313845[[#This Row],[Actual Cost]]</f>
        <v>0</v>
      </c>
      <c r="E21" s="20">
        <f>Table11438506274869859[Projected Cost]-Table11438506274869859[Actual Cost]</f>
        <v>560</v>
      </c>
      <c r="F21" s="67"/>
      <c r="H21" s="120"/>
      <c r="I21" s="121"/>
      <c r="J21" s="121"/>
      <c r="K21" s="121"/>
      <c r="L21" s="121"/>
      <c r="M21" s="127"/>
      <c r="N21" s="128"/>
      <c r="O21" s="128"/>
      <c r="P21" s="128"/>
      <c r="Q21" s="129"/>
    </row>
    <row r="22" spans="1:17" ht="15.75" customHeight="1" x14ac:dyDescent="0.2">
      <c r="A22" s="2"/>
      <c r="B22" s="22" t="s">
        <v>47</v>
      </c>
      <c r="C22" s="19">
        <f>Table114385062748698[[#This Row],[Projected Cost]]+Table1143850627486983[[#This Row],[Projected Cost]]+Table114385062748698310[[#This Row],[Projected Cost]]+Table11438506274869831017[[#This Row],[Projected Cost]]+Table11438506274869824[[#This Row],[Projected Cost]]+Table1143850627486983101731[[#This Row],[Projected Cost]]+Table114385062748698310173138[[#This Row],[Projected Cost]]+Table11438506274869831017313845[[#This Row],[Projected Cost]]</f>
        <v>160</v>
      </c>
      <c r="D22" s="19">
        <f>Table114385062748698[[#This Row],[Actual Cost]]+Table1143850627486983[[#This Row],[Actual Cost]]+Table114385062748698310[[#This Row],[Actual Cost]]+Table11438506274869831017[[#This Row],[Actual Cost]]+Table11438506274869824[[#This Row],[Actual Cost]]+Table1143850627486983101731[[#This Row],[Actual Cost]]+Table114385062748698310173138[[#This Row],[Actual Cost]]+Table11438506274869831017313845[[#This Row],[Actual Cost]]</f>
        <v>0</v>
      </c>
      <c r="E22" s="20">
        <f>Table11438506274869859[Projected Cost]-Table11438506274869859[Actual Cost]</f>
        <v>160</v>
      </c>
      <c r="F22" s="67"/>
      <c r="H22" s="120"/>
      <c r="I22" s="121"/>
      <c r="J22" s="121"/>
      <c r="K22" s="121"/>
      <c r="L22" s="121"/>
      <c r="M22" s="127"/>
      <c r="N22" s="128"/>
      <c r="O22" s="128"/>
      <c r="P22" s="128"/>
      <c r="Q22" s="129"/>
    </row>
    <row r="23" spans="1:17" ht="15.75" customHeight="1" x14ac:dyDescent="0.2">
      <c r="A23" s="2"/>
      <c r="B23" s="22" t="s">
        <v>37</v>
      </c>
      <c r="C23" s="19">
        <f>Table114385062748698[[#This Row],[Projected Cost]]+Table1143850627486983[[#This Row],[Projected Cost]]+Table114385062748698310[[#This Row],[Projected Cost]]+Table11438506274869831017[[#This Row],[Projected Cost]]+Table11438506274869824[[#This Row],[Projected Cost]]+Table1143850627486983101731[[#This Row],[Projected Cost]]+Table114385062748698310173138[[#This Row],[Projected Cost]]+Table11438506274869831017313845[[#This Row],[Projected Cost]]</f>
        <v>160</v>
      </c>
      <c r="D23" s="19">
        <f>Table114385062748698[[#This Row],[Actual Cost]]+Table1143850627486983[[#This Row],[Actual Cost]]+Table114385062748698310[[#This Row],[Actual Cost]]+Table11438506274869831017[[#This Row],[Actual Cost]]+Table11438506274869824[[#This Row],[Actual Cost]]+Table1143850627486983101731[[#This Row],[Actual Cost]]+Table114385062748698310173138[[#This Row],[Actual Cost]]+Table11438506274869831017313845[[#This Row],[Actual Cost]]</f>
        <v>0</v>
      </c>
      <c r="E23" s="20">
        <f>Table11438506274869859[Projected Cost]-Table11438506274869859[Actual Cost]</f>
        <v>160</v>
      </c>
      <c r="F23" s="67"/>
      <c r="H23" s="122"/>
      <c r="I23" s="123"/>
      <c r="J23" s="123"/>
      <c r="K23" s="123"/>
      <c r="L23" s="123"/>
      <c r="M23" s="130"/>
      <c r="N23" s="131"/>
      <c r="O23" s="131"/>
      <c r="P23" s="131"/>
      <c r="Q23" s="132"/>
    </row>
    <row r="24" spans="1:17" ht="15.75" customHeight="1" x14ac:dyDescent="0.2">
      <c r="A24" s="2"/>
      <c r="B24" s="22" t="s">
        <v>6</v>
      </c>
      <c r="C24" s="19">
        <f>Table114385062748698[[#This Row],[Projected Cost]]+Table1143850627486983[[#This Row],[Projected Cost]]+Table114385062748698310[[#This Row],[Projected Cost]]+Table11438506274869831017[[#This Row],[Projected Cost]]+Table11438506274869824[[#This Row],[Projected Cost]]+Table1143850627486983101731[[#This Row],[Projected Cost]]+Table114385062748698310173138[[#This Row],[Projected Cost]]+Table11438506274869831017313845[[#This Row],[Projected Cost]]</f>
        <v>400</v>
      </c>
      <c r="D24" s="19">
        <f>Table114385062748698[[#This Row],[Actual Cost]]+Table1143850627486983[[#This Row],[Actual Cost]]+Table114385062748698310[[#This Row],[Actual Cost]]+Table11438506274869831017[[#This Row],[Actual Cost]]+Table11438506274869824[[#This Row],[Actual Cost]]+Table1143850627486983101731[[#This Row],[Actual Cost]]+Table114385062748698310173138[[#This Row],[Actual Cost]]+Table11438506274869831017313845[[#This Row],[Actual Cost]]</f>
        <v>0</v>
      </c>
      <c r="E24" s="20">
        <f>Table11438506274869859[Projected Cost]-Table11438506274869859[Actual Cost]</f>
        <v>400</v>
      </c>
      <c r="F24" s="67"/>
    </row>
    <row r="25" spans="1:17" ht="15.75" customHeight="1" x14ac:dyDescent="0.2">
      <c r="A25" s="2"/>
      <c r="B25" s="16" t="s">
        <v>33</v>
      </c>
      <c r="C25" s="19">
        <f>SUBTOTAL(109,Table11438506274869859[Projected Cost])</f>
        <v>1280</v>
      </c>
      <c r="D25" s="19">
        <f>SUBTOTAL(109,Table11438506274869859[Actual Cost])</f>
        <v>0</v>
      </c>
      <c r="E25" s="21">
        <f>SUBTOTAL(109,Table11438506274869859[Difference])</f>
        <v>1280</v>
      </c>
      <c r="F25" s="67"/>
    </row>
    <row r="26" spans="1:17" ht="15.75" customHeight="1" x14ac:dyDescent="0.2">
      <c r="A26" s="2"/>
      <c r="B26" s="113"/>
      <c r="C26" s="113"/>
      <c r="D26" s="113"/>
      <c r="E26" s="113"/>
      <c r="F26" s="67"/>
    </row>
    <row r="27" spans="1:17" ht="15.75" customHeight="1" x14ac:dyDescent="0.2">
      <c r="A27" s="2"/>
      <c r="B27" s="16" t="s">
        <v>24</v>
      </c>
      <c r="C27" s="17" t="s">
        <v>0</v>
      </c>
      <c r="D27" s="17" t="s">
        <v>1</v>
      </c>
      <c r="E27" s="18" t="s">
        <v>2</v>
      </c>
      <c r="F27" s="67"/>
      <c r="H27" s="121" t="s">
        <v>1</v>
      </c>
      <c r="I27" s="121"/>
      <c r="J27" s="121"/>
      <c r="K27" s="121"/>
      <c r="L27" s="121"/>
      <c r="M27" s="135">
        <f>E64</f>
        <v>0</v>
      </c>
      <c r="N27" s="135"/>
      <c r="O27" s="135"/>
      <c r="P27" s="135"/>
      <c r="Q27" s="135"/>
    </row>
    <row r="28" spans="1:17" ht="15.75" customHeight="1" x14ac:dyDescent="0.2">
      <c r="A28" s="2"/>
      <c r="B28" s="22" t="s">
        <v>20</v>
      </c>
      <c r="C28" s="19">
        <f>Table3214557698193105[[#This Row],[Projected Cost]]+Table32145576981931056[[#This Row],[Projected Cost]]+Table3214557698193105613[[#This Row],[Projected Cost]]+Table321455769819310561320[[#This Row],[Projected Cost]]+Table321455769819310527[[#This Row],[Projected Cost]]+Table32145576981931056132034[[#This Row],[Projected Cost]]+Table3214557698193105613203441[[#This Row],[Projected Cost]]+Table321455769819310561320344148[[#This Row],[Projected Cost]]</f>
        <v>0</v>
      </c>
      <c r="D28" s="19">
        <f>Table3214557698193105[[#This Row],[Actual Cost]]+Table32145576981931056[[#This Row],[Actual Cost]]+Table3214557698193105613[[#This Row],[Actual Cost]]+Table321455769819310561320[[#This Row],[Actual Cost]]+Table321455769819310527[[#This Row],[Actual Cost]]+Table32145576981931056132034[[#This Row],[Actual Cost]]+Table3214557698193105613203441[[#This Row],[Actual Cost]]+Table321455769819310561320344148[[#This Row],[Actual Cost]]</f>
        <v>0</v>
      </c>
      <c r="E28" s="20">
        <f>Table321455769819310562[Projected Cost]-Table321455769819310562[Actual Cost]</f>
        <v>0</v>
      </c>
      <c r="F28" s="67"/>
      <c r="H28" s="121"/>
      <c r="I28" s="121"/>
      <c r="J28" s="121"/>
      <c r="K28" s="121"/>
      <c r="L28" s="121"/>
      <c r="M28" s="135"/>
      <c r="N28" s="135"/>
      <c r="O28" s="135"/>
      <c r="P28" s="135"/>
      <c r="Q28" s="135"/>
    </row>
    <row r="29" spans="1:17" ht="15.75" customHeight="1" x14ac:dyDescent="0.2">
      <c r="A29" s="2"/>
      <c r="B29" s="22" t="s">
        <v>7</v>
      </c>
      <c r="C29" s="19">
        <f>Table3214557698193105[[#This Row],[Projected Cost]]+Table32145576981931056[[#This Row],[Projected Cost]]+Table3214557698193105613[[#This Row],[Projected Cost]]+Table321455769819310561320[[#This Row],[Projected Cost]]+Table321455769819310527[[#This Row],[Projected Cost]]+Table32145576981931056132034[[#This Row],[Projected Cost]]+Table3214557698193105613203441[[#This Row],[Projected Cost]]+Table321455769819310561320344148[[#This Row],[Projected Cost]]</f>
        <v>0</v>
      </c>
      <c r="D29" s="19">
        <f>Table3214557698193105[[#This Row],[Actual Cost]]+Table32145576981931056[[#This Row],[Actual Cost]]+Table3214557698193105613[[#This Row],[Actual Cost]]+Table321455769819310561320[[#This Row],[Actual Cost]]+Table321455769819310527[[#This Row],[Actual Cost]]+Table32145576981931056132034[[#This Row],[Actual Cost]]+Table3214557698193105613203441[[#This Row],[Actual Cost]]+Table321455769819310561320344148[[#This Row],[Actual Cost]]</f>
        <v>0</v>
      </c>
      <c r="E29" s="20">
        <f>Table321455769819310562[Projected Cost]-Table321455769819310562[Actual Cost]</f>
        <v>0</v>
      </c>
      <c r="F29" s="67"/>
      <c r="H29" s="121"/>
      <c r="I29" s="121"/>
      <c r="J29" s="121"/>
      <c r="K29" s="121"/>
      <c r="L29" s="121"/>
      <c r="M29" s="135"/>
      <c r="N29" s="135"/>
      <c r="O29" s="135"/>
      <c r="P29" s="135"/>
      <c r="Q29" s="135"/>
    </row>
    <row r="30" spans="1:17" ht="15.75" customHeight="1" x14ac:dyDescent="0.2">
      <c r="A30" s="2"/>
      <c r="B30" s="22" t="s">
        <v>8</v>
      </c>
      <c r="C30" s="19">
        <f>Table3214557698193105[[#This Row],[Projected Cost]]+Table32145576981931056[[#This Row],[Projected Cost]]+Table3214557698193105613[[#This Row],[Projected Cost]]+Table321455769819310561320[[#This Row],[Projected Cost]]+Table321455769819310527[[#This Row],[Projected Cost]]+Table32145576981931056132034[[#This Row],[Projected Cost]]+Table3214557698193105613203441[[#This Row],[Projected Cost]]+Table321455769819310561320344148[[#This Row],[Projected Cost]]</f>
        <v>0</v>
      </c>
      <c r="D30" s="19">
        <f>Table3214557698193105[[#This Row],[Actual Cost]]+Table32145576981931056[[#This Row],[Actual Cost]]+Table3214557698193105613[[#This Row],[Actual Cost]]+Table321455769819310561320[[#This Row],[Actual Cost]]+Table321455769819310527[[#This Row],[Actual Cost]]+Table32145576981931056132034[[#This Row],[Actual Cost]]+Table3214557698193105613203441[[#This Row],[Actual Cost]]+Table321455769819310561320344148[[#This Row],[Actual Cost]]</f>
        <v>0</v>
      </c>
      <c r="E30" s="20">
        <f>Table321455769819310562[Projected Cost]-Table321455769819310562[Actual Cost]</f>
        <v>0</v>
      </c>
      <c r="F30" s="67"/>
      <c r="H30" s="121"/>
      <c r="I30" s="121"/>
      <c r="J30" s="121"/>
      <c r="K30" s="121"/>
      <c r="L30" s="121"/>
      <c r="M30" s="135"/>
      <c r="N30" s="135"/>
      <c r="O30" s="135"/>
      <c r="P30" s="135"/>
      <c r="Q30" s="135"/>
    </row>
    <row r="31" spans="1:17" ht="15.75" customHeight="1" x14ac:dyDescent="0.2">
      <c r="A31" s="2"/>
      <c r="B31" s="22" t="s">
        <v>9</v>
      </c>
      <c r="C31" s="19">
        <f>Table3214557698193105[[#This Row],[Projected Cost]]+Table32145576981931056[[#This Row],[Projected Cost]]+Table3214557698193105613[[#This Row],[Projected Cost]]+Table321455769819310561320[[#This Row],[Projected Cost]]+Table321455769819310527[[#This Row],[Projected Cost]]+Table32145576981931056132034[[#This Row],[Projected Cost]]+Table3214557698193105613203441[[#This Row],[Projected Cost]]+Table321455769819310561320344148[[#This Row],[Projected Cost]]</f>
        <v>0</v>
      </c>
      <c r="D31" s="19">
        <f>Table3214557698193105[[#This Row],[Actual Cost]]+Table32145576981931056[[#This Row],[Actual Cost]]+Table3214557698193105613[[#This Row],[Actual Cost]]+Table321455769819310561320[[#This Row],[Actual Cost]]+Table321455769819310527[[#This Row],[Actual Cost]]+Table32145576981931056132034[[#This Row],[Actual Cost]]+Table3214557698193105613203441[[#This Row],[Actual Cost]]+Table321455769819310561320344148[[#This Row],[Actual Cost]]</f>
        <v>0</v>
      </c>
      <c r="E31" s="20">
        <f>Table321455769819310562[Projected Cost]-Table321455769819310562[Actual Cost]</f>
        <v>0</v>
      </c>
      <c r="F31" s="67"/>
      <c r="H31" s="118" t="s">
        <v>109</v>
      </c>
      <c r="I31" s="119"/>
      <c r="J31" s="119"/>
      <c r="K31" s="119"/>
      <c r="L31" s="119"/>
      <c r="M31" s="133">
        <f>E9+'Starting Page'!I18</f>
        <v>25000</v>
      </c>
      <c r="N31" s="133"/>
      <c r="O31" s="133"/>
      <c r="P31" s="133"/>
      <c r="Q31" s="134"/>
    </row>
    <row r="32" spans="1:17" ht="15.75" customHeight="1" x14ac:dyDescent="0.2">
      <c r="A32" s="2"/>
      <c r="B32" s="22" t="s">
        <v>62</v>
      </c>
      <c r="C32" s="19">
        <f>Table3214557698193105[[#This Row],[Projected Cost]]+Table32145576981931056[[#This Row],[Projected Cost]]+Table3214557698193105613[[#This Row],[Projected Cost]]+Table321455769819310561320[[#This Row],[Projected Cost]]+Table321455769819310527[[#This Row],[Projected Cost]]+Table32145576981931056132034[[#This Row],[Projected Cost]]+Table3214557698193105613203441[[#This Row],[Projected Cost]]+Table321455769819310561320344148[[#This Row],[Projected Cost]]</f>
        <v>400</v>
      </c>
      <c r="D32" s="19">
        <f>Table3214557698193105[[#This Row],[Actual Cost]]+Table32145576981931056[[#This Row],[Actual Cost]]+Table3214557698193105613[[#This Row],[Actual Cost]]+Table321455769819310561320[[#This Row],[Actual Cost]]+Table321455769819310527[[#This Row],[Actual Cost]]+Table32145576981931056132034[[#This Row],[Actual Cost]]+Table3214557698193105613203441[[#This Row],[Actual Cost]]+Table321455769819310561320344148[[#This Row],[Actual Cost]]</f>
        <v>0</v>
      </c>
      <c r="E32" s="20">
        <f>Table321455769819310562[Projected Cost]-Table321455769819310562[Actual Cost]</f>
        <v>400</v>
      </c>
      <c r="F32" s="67"/>
      <c r="H32" s="120"/>
      <c r="I32" s="121"/>
      <c r="J32" s="121"/>
      <c r="K32" s="121"/>
      <c r="L32" s="121"/>
      <c r="M32" s="135"/>
      <c r="N32" s="135"/>
      <c r="O32" s="135"/>
      <c r="P32" s="135"/>
      <c r="Q32" s="136"/>
    </row>
    <row r="33" spans="1:17" ht="15.75" customHeight="1" x14ac:dyDescent="0.2">
      <c r="A33" s="2"/>
      <c r="B33" s="37" t="s">
        <v>33</v>
      </c>
      <c r="C33" s="39">
        <f>SUBTOTAL(109,Table321455769819310562[Projected Cost])</f>
        <v>400</v>
      </c>
      <c r="D33" s="39">
        <f>SUBTOTAL(109,Table321455769819310562[Actual Cost])</f>
        <v>0</v>
      </c>
      <c r="E33" s="40">
        <f>SUBTOTAL(109,Table321455769819310562[Difference])</f>
        <v>400</v>
      </c>
      <c r="F33" s="67"/>
      <c r="H33" s="120"/>
      <c r="I33" s="121"/>
      <c r="J33" s="121"/>
      <c r="K33" s="121"/>
      <c r="L33" s="121"/>
      <c r="M33" s="135"/>
      <c r="N33" s="135"/>
      <c r="O33" s="135"/>
      <c r="P33" s="135"/>
      <c r="Q33" s="136"/>
    </row>
    <row r="34" spans="1:17" ht="15.75" customHeight="1" x14ac:dyDescent="0.2">
      <c r="A34" s="2"/>
      <c r="B34" s="113"/>
      <c r="C34" s="113"/>
      <c r="D34" s="113"/>
      <c r="E34" s="113"/>
      <c r="F34" s="67"/>
      <c r="H34" s="122"/>
      <c r="I34" s="123"/>
      <c r="J34" s="123"/>
      <c r="K34" s="123"/>
      <c r="L34" s="123"/>
      <c r="M34" s="137"/>
      <c r="N34" s="137"/>
      <c r="O34" s="137"/>
      <c r="P34" s="137"/>
      <c r="Q34" s="138"/>
    </row>
    <row r="35" spans="1:17" ht="15.75" customHeight="1" x14ac:dyDescent="0.2">
      <c r="A35" s="2"/>
      <c r="B35" s="16" t="s">
        <v>25</v>
      </c>
      <c r="C35" s="17" t="s">
        <v>0</v>
      </c>
      <c r="D35" s="17" t="s">
        <v>1</v>
      </c>
      <c r="E35" s="18" t="s">
        <v>2</v>
      </c>
      <c r="F35" s="67"/>
      <c r="H35" s="118" t="s">
        <v>110</v>
      </c>
      <c r="I35" s="119"/>
      <c r="J35" s="119"/>
      <c r="K35" s="119"/>
      <c r="L35" s="119"/>
      <c r="M35" s="124" t="str">
        <f>IF(M31&gt;M27,"NONE!",M31-M27)</f>
        <v>NONE!</v>
      </c>
      <c r="N35" s="125"/>
      <c r="O35" s="125"/>
      <c r="P35" s="125"/>
      <c r="Q35" s="126"/>
    </row>
    <row r="36" spans="1:17" ht="15.75" customHeight="1" x14ac:dyDescent="0.2">
      <c r="A36" s="2"/>
      <c r="B36" s="22" t="s">
        <v>68</v>
      </c>
      <c r="C36" s="19">
        <f>Table415395163758799[Projected Cost]+Table4153951637587994[Projected Cost]+Table415395163758799411[Projected Cost]+Table41539516375879941118[Projected Cost]+Table41539516375879925[Projected Cost]+Table4153951637587994111832[Projected Cost]+Table415395163758799411183239[Projected Cost]+Table41539516375879941118323946[Projected Cost]</f>
        <v>120</v>
      </c>
      <c r="D36" s="19">
        <f>Table415395163758799[Actual Cost]+Table4153951637587994[Actual Cost]+Table415395163758799411[Actual Cost]+Table41539516375879941118[Actual Cost]+Table41539516375879925[Actual Cost]+Table4153951637587994111832[Actual Cost]+Table415395163758799411183239[Actual Cost]+Table41539516375879941118323946[Actual Cost]</f>
        <v>0</v>
      </c>
      <c r="E36" s="20">
        <f>Table41539516375879960[Projected Cost]-Table41539516375879960[Actual Cost]</f>
        <v>120</v>
      </c>
      <c r="F36" s="67"/>
      <c r="H36" s="120"/>
      <c r="I36" s="121"/>
      <c r="J36" s="121"/>
      <c r="K36" s="121"/>
      <c r="L36" s="121"/>
      <c r="M36" s="127"/>
      <c r="N36" s="128"/>
      <c r="O36" s="128"/>
      <c r="P36" s="128"/>
      <c r="Q36" s="129"/>
    </row>
    <row r="37" spans="1:17" ht="15.75" customHeight="1" x14ac:dyDescent="0.2">
      <c r="A37" s="2"/>
      <c r="B37" s="37" t="s">
        <v>33</v>
      </c>
      <c r="C37" s="39">
        <f>SUBTOTAL(109,Table41539516375879960[Projected Cost])</f>
        <v>120</v>
      </c>
      <c r="D37" s="39">
        <f>SUBTOTAL(109,Table41539516375879960[Actual Cost])</f>
        <v>0</v>
      </c>
      <c r="E37" s="40">
        <f>SUBTOTAL(109,Table41539516375879960[Difference])</f>
        <v>120</v>
      </c>
      <c r="F37" s="67"/>
      <c r="H37" s="120"/>
      <c r="I37" s="121"/>
      <c r="J37" s="121"/>
      <c r="K37" s="121"/>
      <c r="L37" s="121"/>
      <c r="M37" s="127"/>
      <c r="N37" s="128"/>
      <c r="O37" s="128"/>
      <c r="P37" s="128"/>
      <c r="Q37" s="129"/>
    </row>
    <row r="38" spans="1:17" ht="15.75" customHeight="1" x14ac:dyDescent="0.2">
      <c r="A38" s="2"/>
      <c r="B38" s="113"/>
      <c r="C38" s="113"/>
      <c r="D38" s="113"/>
      <c r="E38" s="113"/>
      <c r="F38" s="67"/>
      <c r="H38" s="122"/>
      <c r="I38" s="123"/>
      <c r="J38" s="123"/>
      <c r="K38" s="123"/>
      <c r="L38" s="123"/>
      <c r="M38" s="130"/>
      <c r="N38" s="131"/>
      <c r="O38" s="131"/>
      <c r="P38" s="131"/>
      <c r="Q38" s="132"/>
    </row>
    <row r="39" spans="1:17" ht="15.75" customHeight="1" x14ac:dyDescent="0.2">
      <c r="A39" s="2"/>
      <c r="B39" s="16" t="s">
        <v>26</v>
      </c>
      <c r="C39" s="17" t="s">
        <v>0</v>
      </c>
      <c r="D39" s="17" t="s">
        <v>1</v>
      </c>
      <c r="E39" s="18" t="s">
        <v>2</v>
      </c>
      <c r="F39" s="67"/>
    </row>
    <row r="40" spans="1:17" ht="15.75" customHeight="1" x14ac:dyDescent="0.2">
      <c r="A40" s="2"/>
      <c r="B40" s="22" t="s">
        <v>92</v>
      </c>
      <c r="C40" s="19">
        <f>Table5194355677991103[[#This Row],[Projected Cost]]+Table51943556779911035[[#This Row],[Projected Cost]]+Table5194355677991103512[[#This Row],[Projected Cost]]+Table519435567799110351219[[#This Row],[Projected Cost]]+Table519435567799110326[[#This Row],[Projected Cost]]+Table51943556779911035121933[[#This Row],[Projected Cost]]+Table5194355677991103512193340[[#This Row],[Projected Cost]]+Table519435567799110351219334047[[#This Row],[Projected Cost]]</f>
        <v>2400</v>
      </c>
      <c r="D40" s="19">
        <f>Table5194355677991103[[#This Row],[Actual Cost]]+Table51943556779911035[[#This Row],[Actual Cost]]+Table5194355677991103512[[#This Row],[Actual Cost]]+Table519435567799110351219[[#This Row],[Actual Cost]]+Table519435567799110326[[#This Row],[Actual Cost]]+Table51943556779911035121933[[#This Row],[Actual Cost]]+Table5194355677991103512193340[[#This Row],[Actual Cost]]+Table519435567799110351219334047[[#This Row],[Actual Cost]]</f>
        <v>0</v>
      </c>
      <c r="E40" s="20">
        <f>Table519435567799110361[Projected Cost]-Table519435567799110361[Actual Cost]</f>
        <v>2400</v>
      </c>
      <c r="F40" s="67"/>
    </row>
    <row r="41" spans="1:17" ht="15.75" customHeight="1" x14ac:dyDescent="0.2">
      <c r="A41" s="2"/>
      <c r="B41" s="22" t="s">
        <v>15</v>
      </c>
      <c r="C41" s="19">
        <f>Table5194355677991103[[#This Row],[Projected Cost]]+Table51943556779911035[[#This Row],[Projected Cost]]+Table5194355677991103512[[#This Row],[Projected Cost]]+Table519435567799110351219[[#This Row],[Projected Cost]]+Table519435567799110326[[#This Row],[Projected Cost]]+Table51943556779911035121933[[#This Row],[Projected Cost]]+Table5194355677991103512193340[[#This Row],[Projected Cost]]+Table519435567799110351219334047[[#This Row],[Projected Cost]]</f>
        <v>800</v>
      </c>
      <c r="D41" s="19">
        <f>Table5194355677991103[[#This Row],[Actual Cost]]+Table51943556779911035[[#This Row],[Actual Cost]]+Table5194355677991103512[[#This Row],[Actual Cost]]+Table519435567799110351219[[#This Row],[Actual Cost]]+Table519435567799110326[[#This Row],[Actual Cost]]+Table51943556779911035121933[[#This Row],[Actual Cost]]+Table5194355677991103512193340[[#This Row],[Actual Cost]]+Table519435567799110351219334047[[#This Row],[Actual Cost]]</f>
        <v>0</v>
      </c>
      <c r="E41" s="20">
        <f>Table519435567799110361[Projected Cost]-Table519435567799110361[Actual Cost]</f>
        <v>800</v>
      </c>
      <c r="F41" s="67"/>
    </row>
    <row r="42" spans="1:17" ht="15.75" customHeight="1" x14ac:dyDescent="0.2">
      <c r="A42" s="2"/>
      <c r="B42" s="22" t="s">
        <v>6</v>
      </c>
      <c r="C42" s="19">
        <f>Table5194355677991103[[#This Row],[Projected Cost]]+Table51943556779911035[[#This Row],[Projected Cost]]+Table5194355677991103512[[#This Row],[Projected Cost]]+Table519435567799110351219[[#This Row],[Projected Cost]]+Table519435567799110326[[#This Row],[Projected Cost]]+Table51943556779911035121933[[#This Row],[Projected Cost]]+Table5194355677991103512193340[[#This Row],[Projected Cost]]+Table519435567799110351219334047[[#This Row],[Projected Cost]]</f>
        <v>0</v>
      </c>
      <c r="D42" s="19">
        <f>Table5194355677991103[[#This Row],[Actual Cost]]+Table51943556779911035[[#This Row],[Actual Cost]]+Table5194355677991103512[[#This Row],[Actual Cost]]+Table519435567799110351219[[#This Row],[Actual Cost]]+Table519435567799110326[[#This Row],[Actual Cost]]+Table51943556779911035121933[[#This Row],[Actual Cost]]+Table5194355677991103512193340[[#This Row],[Actual Cost]]+Table519435567799110351219334047[[#This Row],[Actual Cost]]</f>
        <v>0</v>
      </c>
      <c r="E42" s="20">
        <f>Table519435567799110361[Projected Cost]-Table519435567799110361[Actual Cost]</f>
        <v>0</v>
      </c>
      <c r="F42" s="67"/>
    </row>
    <row r="43" spans="1:17" ht="15.75" customHeight="1" x14ac:dyDescent="0.2">
      <c r="A43" s="2"/>
      <c r="B43" s="16" t="s">
        <v>33</v>
      </c>
      <c r="C43" s="19">
        <f>SUBTOTAL(109,Table519435567799110361[Projected Cost])</f>
        <v>3200</v>
      </c>
      <c r="D43" s="19">
        <f>SUBTOTAL(109,Table519435567799110361[Actual Cost])</f>
        <v>0</v>
      </c>
      <c r="E43" s="21">
        <f>SUBTOTAL(109,Table519435567799110361[Difference])</f>
        <v>3200</v>
      </c>
      <c r="F43" s="67"/>
    </row>
    <row r="44" spans="1:17" ht="15.75" customHeight="1" x14ac:dyDescent="0.2">
      <c r="A44" s="2"/>
      <c r="B44" s="113"/>
      <c r="C44" s="113"/>
      <c r="D44" s="113"/>
      <c r="E44" s="113"/>
      <c r="F44" s="67"/>
    </row>
    <row r="45" spans="1:17" ht="15.75" customHeight="1" x14ac:dyDescent="0.2">
      <c r="A45" s="2"/>
      <c r="B45" s="16" t="s">
        <v>27</v>
      </c>
      <c r="C45" s="17" t="s">
        <v>0</v>
      </c>
      <c r="D45" s="17" t="s">
        <v>1</v>
      </c>
      <c r="E45" s="18" t="s">
        <v>2</v>
      </c>
      <c r="F45" s="67"/>
    </row>
    <row r="46" spans="1:17" ht="17.25" customHeight="1" x14ac:dyDescent="0.2">
      <c r="A46" s="2"/>
      <c r="B46" s="22" t="s">
        <v>12</v>
      </c>
      <c r="C46" s="19">
        <f>Table7244860728496108[[#This Row],[Projected Cost]]+Table72448607284961087[[#This Row],[Projected Cost]]+Table7244860728496108714[[#This Row],[Projected Cost]]+Table724486072849610871421[[#This Row],[Projected Cost]]+Table724486072849610828[[#This Row],[Projected Cost]]+Table72448607284961087142135[[#This Row],[Projected Cost]]+Table7244860728496108714213542[[#This Row],[Projected Cost]]+Table724486072849610871421354249[[#This Row],[Projected Cost]]</f>
        <v>160</v>
      </c>
      <c r="D46" s="19">
        <f>Table7244860728496108[[#This Row],[Actual Cost]]+Table72448607284961087[[#This Row],[Actual Cost]]+Table7244860728496108714[[#This Row],[Actual Cost]]+Table724486072849610871421[[#This Row],[Actual Cost]]+Table724486072849610828[[#This Row],[Actual Cost]]+Table72448607284961087142135[[#This Row],[Actual Cost]]+Table7244860728496108714213542[[#This Row],[Actual Cost]]+Table724486072849610871421354249[[#This Row],[Actual Cost]]</f>
        <v>0</v>
      </c>
      <c r="E46" s="20">
        <f>Table724486072849610863[Projected Cost]-Table724486072849610863[Actual Cost]</f>
        <v>160</v>
      </c>
      <c r="F46" s="67"/>
    </row>
    <row r="47" spans="1:17" ht="15.75" customHeight="1" x14ac:dyDescent="0.2">
      <c r="A47" s="2"/>
      <c r="B47" s="22" t="s">
        <v>14</v>
      </c>
      <c r="C47" s="19">
        <f>Table7244860728496108[[#This Row],[Projected Cost]]+Table72448607284961087[[#This Row],[Projected Cost]]+Table7244860728496108714[[#This Row],[Projected Cost]]+Table724486072849610871421[[#This Row],[Projected Cost]]+Table724486072849610828[[#This Row],[Projected Cost]]+Table72448607284961087142135[[#This Row],[Projected Cost]]+Table7244860728496108714213542[[#This Row],[Projected Cost]]+Table724486072849610871421354249[[#This Row],[Projected Cost]]</f>
        <v>400</v>
      </c>
      <c r="D47" s="19">
        <f>Table7244860728496108[[#This Row],[Actual Cost]]+Table72448607284961087[[#This Row],[Actual Cost]]+Table7244860728496108714[[#This Row],[Actual Cost]]+Table724486072849610871421[[#This Row],[Actual Cost]]+Table724486072849610828[[#This Row],[Actual Cost]]+Table72448607284961087142135[[#This Row],[Actual Cost]]+Table7244860728496108714213542[[#This Row],[Actual Cost]]+Table724486072849610871421354249[[#This Row],[Actual Cost]]</f>
        <v>0</v>
      </c>
      <c r="E47" s="20">
        <f>Table724486072849610863[Projected Cost]-Table724486072849610863[Actual Cost]</f>
        <v>400</v>
      </c>
      <c r="F47" s="67"/>
    </row>
    <row r="48" spans="1:17" ht="15.75" customHeight="1" x14ac:dyDescent="0.2">
      <c r="A48" s="2"/>
      <c r="B48" s="22" t="s">
        <v>13</v>
      </c>
      <c r="C48" s="19">
        <f>Table7244860728496108[[#This Row],[Projected Cost]]+Table72448607284961087[[#This Row],[Projected Cost]]+Table7244860728496108714[[#This Row],[Projected Cost]]+Table724486072849610871421[[#This Row],[Projected Cost]]+Table724486072849610828[[#This Row],[Projected Cost]]+Table72448607284961087142135[[#This Row],[Projected Cost]]+Table7244860728496108714213542[[#This Row],[Projected Cost]]+Table724486072849610871421354249[[#This Row],[Projected Cost]]</f>
        <v>400</v>
      </c>
      <c r="D48" s="19">
        <f>Table7244860728496108[[#This Row],[Actual Cost]]+Table72448607284961087[[#This Row],[Actual Cost]]+Table7244860728496108714[[#This Row],[Actual Cost]]+Table724486072849610871421[[#This Row],[Actual Cost]]+Table724486072849610828[[#This Row],[Actual Cost]]+Table72448607284961087142135[[#This Row],[Actual Cost]]+Table7244860728496108714213542[[#This Row],[Actual Cost]]+Table724486072849610871421354249[[#This Row],[Actual Cost]]</f>
        <v>0</v>
      </c>
      <c r="E48" s="20">
        <f>Table724486072849610863[Projected Cost]-Table724486072849610863[Actual Cost]</f>
        <v>400</v>
      </c>
      <c r="F48" s="67"/>
    </row>
    <row r="49" spans="1:6" ht="15.75" customHeight="1" x14ac:dyDescent="0.2">
      <c r="A49" s="2"/>
      <c r="B49" s="22" t="s">
        <v>49</v>
      </c>
      <c r="C49" s="19">
        <f>Table7244860728496108[[#This Row],[Projected Cost]]+Table72448607284961087[[#This Row],[Projected Cost]]+Table7244860728496108714[[#This Row],[Projected Cost]]+Table724486072849610871421[[#This Row],[Projected Cost]]+Table724486072849610828[[#This Row],[Projected Cost]]+Table72448607284961087142135[[#This Row],[Projected Cost]]+Table7244860728496108714213542[[#This Row],[Projected Cost]]+Table724486072849610871421354249[[#This Row],[Projected Cost]]</f>
        <v>320</v>
      </c>
      <c r="D49" s="19">
        <f>Table7244860728496108[[#This Row],[Actual Cost]]+Table72448607284961087[[#This Row],[Actual Cost]]+Table7244860728496108714[[#This Row],[Actual Cost]]+Table724486072849610871421[[#This Row],[Actual Cost]]+Table724486072849610828[[#This Row],[Actual Cost]]+Table72448607284961087142135[[#This Row],[Actual Cost]]+Table7244860728496108714213542[[#This Row],[Actual Cost]]+Table724486072849610871421354249[[#This Row],[Actual Cost]]</f>
        <v>0</v>
      </c>
      <c r="E49" s="20">
        <f>Table724486072849610863[Projected Cost]-Table724486072849610863[Actual Cost]</f>
        <v>320</v>
      </c>
      <c r="F49" s="67"/>
    </row>
    <row r="50" spans="1:6" ht="15.75" customHeight="1" x14ac:dyDescent="0.2">
      <c r="A50" s="2"/>
      <c r="B50" s="22" t="s">
        <v>6</v>
      </c>
      <c r="C50" s="19">
        <f>Table7244860728496108[[#This Row],[Projected Cost]]+Table72448607284961087[[#This Row],[Projected Cost]]+Table7244860728496108714[[#This Row],[Projected Cost]]+Table724486072849610871421[[#This Row],[Projected Cost]]+Table724486072849610828[[#This Row],[Projected Cost]]+Table72448607284961087142135[[#This Row],[Projected Cost]]+Table7244860728496108714213542[[#This Row],[Projected Cost]]+Table724486072849610871421354249[[#This Row],[Projected Cost]]</f>
        <v>160</v>
      </c>
      <c r="D50" s="19">
        <f>Table7244860728496108[[#This Row],[Actual Cost]]+Table72448607284961087[[#This Row],[Actual Cost]]+Table7244860728496108714[[#This Row],[Actual Cost]]+Table724486072849610871421[[#This Row],[Actual Cost]]+Table724486072849610828[[#This Row],[Actual Cost]]+Table72448607284961087142135[[#This Row],[Actual Cost]]+Table7244860728496108714213542[[#This Row],[Actual Cost]]+Table724486072849610871421354249[[#This Row],[Actual Cost]]</f>
        <v>0</v>
      </c>
      <c r="E50" s="20">
        <f>Table724486072849610863[Projected Cost]-Table724486072849610863[Actual Cost]</f>
        <v>160</v>
      </c>
      <c r="F50" s="67"/>
    </row>
    <row r="51" spans="1:6" ht="15.75" customHeight="1" x14ac:dyDescent="0.2">
      <c r="A51" s="2"/>
      <c r="B51" s="37" t="s">
        <v>33</v>
      </c>
      <c r="C51" s="39">
        <f>SUBTOTAL(109,Table724486072849610863[Projected Cost])</f>
        <v>1440</v>
      </c>
      <c r="D51" s="39">
        <f>SUBTOTAL(109,Table724486072849610863[Actual Cost])</f>
        <v>0</v>
      </c>
      <c r="E51" s="40">
        <f>SUBTOTAL(109,Table724486072849610863[Difference])</f>
        <v>1440</v>
      </c>
      <c r="F51" s="67"/>
    </row>
    <row r="52" spans="1:6" ht="15.75" customHeight="1" x14ac:dyDescent="0.2">
      <c r="A52" s="2"/>
      <c r="F52" s="67"/>
    </row>
    <row r="53" spans="1:6" ht="15.75" customHeight="1" x14ac:dyDescent="0.2">
      <c r="A53" s="2"/>
      <c r="B53" s="16" t="s">
        <v>23</v>
      </c>
      <c r="C53" s="17" t="s">
        <v>0</v>
      </c>
      <c r="D53" s="17" t="s">
        <v>1</v>
      </c>
      <c r="E53" s="18" t="s">
        <v>2</v>
      </c>
      <c r="F53" s="67"/>
    </row>
    <row r="54" spans="1:6" ht="15.75" customHeight="1" x14ac:dyDescent="0.2">
      <c r="A54" s="2"/>
      <c r="B54" s="22" t="s">
        <v>81</v>
      </c>
      <c r="C54" s="19">
        <f>Table2254961738597109[[#This Row],[Projected Cost]]+Table22549617385971098[[#This Row],[Projected Cost]]+Table2254961738597109815[[#This Row],[Projected Cost]]+Table225496173859710981522[[#This Row],[Projected Cost]]+Table225496173859710929[[#This Row],[Projected Cost]]+Table22549617385971098152236[[#This Row],[Projected Cost]]+Table2254961738597109815223643[[#This Row],[Projected Cost]]+Table225496173859710981522364350[[#This Row],[Projected Cost]]</f>
        <v>400</v>
      </c>
      <c r="D54" s="19">
        <f>Table2254961738597109[[#This Row],[Actual Cost]]+Table22549617385971098[[#This Row],[Actual Cost]]+Table2254961738597109815[[#This Row],[Actual Cost]]+Table225496173859710981522[[#This Row],[Actual Cost]]+Table225496173859710929[[#This Row],[Actual Cost]]+Table22549617385971098152236[[#This Row],[Actual Cost]]+Table2254961738597109815223643[[#This Row],[Actual Cost]]+Table225496173859710981522364350[[#This Row],[Actual Cost]]</f>
        <v>0</v>
      </c>
      <c r="E54" s="20">
        <f>Table225496173859710964[Projected Cost]-Table225496173859710964[Actual Cost]</f>
        <v>400</v>
      </c>
      <c r="F54" s="67"/>
    </row>
    <row r="55" spans="1:6" ht="15.75" customHeight="1" x14ac:dyDescent="0.2">
      <c r="A55" s="2"/>
      <c r="B55" s="22" t="s">
        <v>16</v>
      </c>
      <c r="C55" s="19">
        <f>Table2254961738597109[[#This Row],[Projected Cost]]+Table22549617385971098[[#This Row],[Projected Cost]]+Table2254961738597109815[[#This Row],[Projected Cost]]+Table225496173859710981522[[#This Row],[Projected Cost]]+Table225496173859710929[[#This Row],[Projected Cost]]+Table22549617385971098152236[[#This Row],[Projected Cost]]+Table2254961738597109815223643[[#This Row],[Projected Cost]]+Table225496173859710981522364350[[#This Row],[Projected Cost]]</f>
        <v>120</v>
      </c>
      <c r="D55" s="19">
        <f>Table2254961738597109[[#This Row],[Actual Cost]]+Table22549617385971098[[#This Row],[Actual Cost]]+Table2254961738597109815[[#This Row],[Actual Cost]]+Table225496173859710981522[[#This Row],[Actual Cost]]+Table225496173859710929[[#This Row],[Actual Cost]]+Table22549617385971098152236[[#This Row],[Actual Cost]]+Table2254961738597109815223643[[#This Row],[Actual Cost]]+Table225496173859710981522364350[[#This Row],[Actual Cost]]</f>
        <v>0</v>
      </c>
      <c r="E55" s="20">
        <f>Table225496173859710964[Projected Cost]-Table225496173859710964[Actual Cost]</f>
        <v>120</v>
      </c>
      <c r="F55" s="13"/>
    </row>
    <row r="56" spans="1:6" ht="15.75" customHeight="1" x14ac:dyDescent="0.2">
      <c r="A56" s="2"/>
      <c r="B56" s="22" t="s">
        <v>17</v>
      </c>
      <c r="C56" s="19">
        <f>Table2254961738597109[[#This Row],[Projected Cost]]+Table22549617385971098[[#This Row],[Projected Cost]]+Table2254961738597109815[[#This Row],[Projected Cost]]+Table225496173859710981522[[#This Row],[Projected Cost]]+Table225496173859710929[[#This Row],[Projected Cost]]+Table22549617385971098152236[[#This Row],[Projected Cost]]+Table2254961738597109815223643[[#This Row],[Projected Cost]]+Table225496173859710981522364350[[#This Row],[Projected Cost]]</f>
        <v>160</v>
      </c>
      <c r="D56" s="19">
        <f>Table2254961738597109[[#This Row],[Actual Cost]]+Table22549617385971098[[#This Row],[Actual Cost]]+Table2254961738597109815[[#This Row],[Actual Cost]]+Table225496173859710981522[[#This Row],[Actual Cost]]+Table225496173859710929[[#This Row],[Actual Cost]]+Table22549617385971098152236[[#This Row],[Actual Cost]]+Table2254961738597109815223643[[#This Row],[Actual Cost]]+Table225496173859710981522364350[[#This Row],[Actual Cost]]</f>
        <v>0</v>
      </c>
      <c r="E56" s="20">
        <f>Table225496173859710964[Projected Cost]-Table225496173859710964[Actual Cost]</f>
        <v>160</v>
      </c>
      <c r="F56" s="13"/>
    </row>
    <row r="57" spans="1:6" ht="15.75" customHeight="1" x14ac:dyDescent="0.2">
      <c r="A57" s="2"/>
      <c r="B57" s="22" t="s">
        <v>21</v>
      </c>
      <c r="C57" s="19">
        <f>Table2254961738597109[[#This Row],[Projected Cost]]+Table22549617385971098[[#This Row],[Projected Cost]]+Table2254961738597109815[[#This Row],[Projected Cost]]+Table225496173859710981522[[#This Row],[Projected Cost]]+Table225496173859710929[[#This Row],[Projected Cost]]+Table22549617385971098152236[[#This Row],[Projected Cost]]+Table2254961738597109815223643[[#This Row],[Projected Cost]]+Table225496173859710981522364350[[#This Row],[Projected Cost]]</f>
        <v>0</v>
      </c>
      <c r="D57" s="19">
        <f>Table2254961738597109[[#This Row],[Actual Cost]]+Table22549617385971098[[#This Row],[Actual Cost]]+Table2254961738597109815[[#This Row],[Actual Cost]]+Table225496173859710981522[[#This Row],[Actual Cost]]+Table225496173859710929[[#This Row],[Actual Cost]]+Table22549617385971098152236[[#This Row],[Actual Cost]]+Table2254961738597109815223643[[#This Row],[Actual Cost]]+Table225496173859710981522364350[[#This Row],[Actual Cost]]</f>
        <v>0</v>
      </c>
      <c r="E57" s="20">
        <f>Table225496173859710964[Projected Cost]-Table225496173859710964[Actual Cost]</f>
        <v>0</v>
      </c>
      <c r="F57" s="13"/>
    </row>
    <row r="58" spans="1:6" ht="15.75" customHeight="1" x14ac:dyDescent="0.2">
      <c r="A58" s="2"/>
      <c r="B58" s="22" t="s">
        <v>6</v>
      </c>
      <c r="C58" s="19">
        <f>Table2254961738597109[[#This Row],[Projected Cost]]+Table22549617385971098[[#This Row],[Projected Cost]]+Table2254961738597109815[[#This Row],[Projected Cost]]+Table225496173859710981522[[#This Row],[Projected Cost]]+Table225496173859710929[[#This Row],[Projected Cost]]+Table22549617385971098152236[[#This Row],[Projected Cost]]+Table2254961738597109815223643[[#This Row],[Projected Cost]]+Table225496173859710981522364350[[#This Row],[Projected Cost]]</f>
        <v>800</v>
      </c>
      <c r="D58" s="19">
        <f>Table2254961738597109[[#This Row],[Actual Cost]]+Table22549617385971098[[#This Row],[Actual Cost]]+Table2254961738597109815[[#This Row],[Actual Cost]]+Table225496173859710981522[[#This Row],[Actual Cost]]+Table225496173859710929[[#This Row],[Actual Cost]]+Table22549617385971098152236[[#This Row],[Actual Cost]]+Table2254961738597109815223643[[#This Row],[Actual Cost]]+Table225496173859710981522364350[[#This Row],[Actual Cost]]</f>
        <v>0</v>
      </c>
      <c r="E58" s="20">
        <f>Table225496173859710964[Projected Cost]-Table225496173859710964[Actual Cost]</f>
        <v>800</v>
      </c>
      <c r="F58" s="13"/>
    </row>
    <row r="59" spans="1:6" ht="15.75" customHeight="1" x14ac:dyDescent="0.2">
      <c r="A59" s="2"/>
      <c r="B59" s="37" t="s">
        <v>33</v>
      </c>
      <c r="C59" s="38">
        <f>SUBTOTAL(109,Table225496173859710964[Projected Cost])</f>
        <v>1480</v>
      </c>
      <c r="D59" s="39">
        <f>SUBTOTAL(109,Table225496173859710964[Actual Cost])</f>
        <v>0</v>
      </c>
      <c r="E59" s="40">
        <f>SUBTOTAL(109,Table225496173859710964[Difference])</f>
        <v>1480</v>
      </c>
      <c r="F59" s="13"/>
    </row>
    <row r="60" spans="1:6" ht="15.75" customHeight="1" x14ac:dyDescent="0.2">
      <c r="A60" s="2"/>
      <c r="F60" s="13"/>
    </row>
    <row r="61" spans="1:6" ht="15.75" customHeight="1" x14ac:dyDescent="0.2">
      <c r="A61" s="2"/>
      <c r="F61" s="13"/>
    </row>
    <row r="62" spans="1:6" ht="15.75" customHeight="1" x14ac:dyDescent="0.2">
      <c r="B62" s="102" t="s">
        <v>30</v>
      </c>
      <c r="C62" s="102"/>
      <c r="D62" s="102"/>
      <c r="E62" s="117">
        <f>SUM(C17,C25,C33,C37,C43,C51,C59)</f>
        <v>15520</v>
      </c>
    </row>
    <row r="63" spans="1:6" x14ac:dyDescent="0.2">
      <c r="B63" s="102"/>
      <c r="C63" s="102"/>
      <c r="D63" s="102"/>
      <c r="E63" s="117"/>
    </row>
    <row r="64" spans="1:6" x14ac:dyDescent="0.2">
      <c r="B64" s="102" t="s">
        <v>31</v>
      </c>
      <c r="C64" s="102"/>
      <c r="D64" s="102"/>
      <c r="E64" s="117">
        <f>SUM(D17,D25,D33,D37,D43,D51,D59)</f>
        <v>0</v>
      </c>
    </row>
    <row r="65" spans="2:5" x14ac:dyDescent="0.2">
      <c r="B65" s="102"/>
      <c r="C65" s="102"/>
      <c r="D65" s="102"/>
      <c r="E65" s="117"/>
    </row>
    <row r="66" spans="2:5" ht="14.65" customHeight="1" x14ac:dyDescent="0.2">
      <c r="B66" s="102" t="s">
        <v>32</v>
      </c>
      <c r="C66" s="102"/>
      <c r="D66" s="102"/>
      <c r="E66" s="117">
        <f>SUM(E17,E25,E33,E37,E43,E51,E59)</f>
        <v>15520</v>
      </c>
    </row>
    <row r="67" spans="2:5" x14ac:dyDescent="0.2">
      <c r="B67" s="102"/>
      <c r="C67" s="102"/>
      <c r="D67" s="102"/>
      <c r="E67" s="117"/>
    </row>
  </sheetData>
  <mergeCells count="40">
    <mergeCell ref="H35:L38"/>
    <mergeCell ref="M35:Q38"/>
    <mergeCell ref="H27:L30"/>
    <mergeCell ref="M27:Q30"/>
    <mergeCell ref="H31:L34"/>
    <mergeCell ref="M31:Q34"/>
    <mergeCell ref="H20:L23"/>
    <mergeCell ref="M20:Q23"/>
    <mergeCell ref="H16:L19"/>
    <mergeCell ref="M16:Q19"/>
    <mergeCell ref="B4:B6"/>
    <mergeCell ref="H12:L15"/>
    <mergeCell ref="M12:Q15"/>
    <mergeCell ref="G8:K9"/>
    <mergeCell ref="L8:L9"/>
    <mergeCell ref="Q5:R5"/>
    <mergeCell ref="B62:D63"/>
    <mergeCell ref="E62:E63"/>
    <mergeCell ref="B64:D65"/>
    <mergeCell ref="E64:E65"/>
    <mergeCell ref="B66:D67"/>
    <mergeCell ref="E66:E67"/>
    <mergeCell ref="B44:E44"/>
    <mergeCell ref="B34:E34"/>
    <mergeCell ref="B38:E38"/>
    <mergeCell ref="B26:E26"/>
    <mergeCell ref="B7:B9"/>
    <mergeCell ref="C7:D7"/>
    <mergeCell ref="C8:D8"/>
    <mergeCell ref="C9:D9"/>
    <mergeCell ref="B3:D3"/>
    <mergeCell ref="T5:U5"/>
    <mergeCell ref="W5:X5"/>
    <mergeCell ref="C6:D6"/>
    <mergeCell ref="G6:K7"/>
    <mergeCell ref="L6:L7"/>
    <mergeCell ref="C5:D5"/>
    <mergeCell ref="L4:L5"/>
    <mergeCell ref="G4:K5"/>
    <mergeCell ref="C4:D4"/>
  </mergeCells>
  <conditionalFormatting sqref="E54:E59 E28:E33 E20:E25 E36:E37 E40:E43 E46:E51">
    <cfRule type="iconSet" priority="2">
      <iconSet iconSet="3Signs">
        <cfvo type="percent" val="0"/>
        <cfvo type="num" val="-20"/>
        <cfvo type="num" val="0"/>
      </iconSet>
    </cfRule>
  </conditionalFormatting>
  <conditionalFormatting sqref="E12:E18">
    <cfRule type="iconSet" priority="1">
      <iconSet iconSet="3Signs">
        <cfvo type="percent" val="0"/>
        <cfvo type="num" val="-20"/>
        <cfvo type="num" val="0"/>
      </iconSet>
    </cfRule>
  </conditionalFormatting>
  <pageMargins left="0.5" right="0.5" top="0.5" bottom="0.5" header="0.5" footer="0.5"/>
  <pageSetup orientation="portrait" r:id="rId1"/>
  <headerFooter alignWithMargins="0"/>
  <ignoredErrors>
    <ignoredError sqref="D28 C40:D40 C20:C22 C41:C42 C23:C24" calculatedColumn="1"/>
  </ignoredErrors>
  <drawing r:id="rId2"/>
  <tableParts count="7">
    <tablePart r:id="rId3"/>
    <tablePart r:id="rId4"/>
    <tablePart r:id="rId5"/>
    <tablePart r:id="rId6"/>
    <tablePart r:id="rId7"/>
    <tablePart r:id="rId8"/>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F75"/>
  <sheetViews>
    <sheetView showGridLines="0" workbookViewId="0">
      <pane ySplit="2" topLeftCell="A6" activePane="bottomLeft" state="frozen"/>
      <selection pane="bottomLeft" activeCell="N27" sqref="N27"/>
    </sheetView>
  </sheetViews>
  <sheetFormatPr defaultColWidth="8.7109375" defaultRowHeight="12.75" x14ac:dyDescent="0.2"/>
  <cols>
    <col min="1" max="1" width="1.5703125" customWidth="1"/>
    <col min="2" max="2" width="32.28515625" customWidth="1"/>
    <col min="3" max="3" width="16.42578125" customWidth="1"/>
    <col min="4" max="4" width="13.42578125" customWidth="1"/>
    <col min="5" max="5" width="12.42578125" customWidth="1"/>
    <col min="6" max="6" width="2" customWidth="1"/>
    <col min="7" max="7" width="5.7109375" customWidth="1"/>
    <col min="8" max="8" width="11.42578125" bestFit="1" customWidth="1"/>
    <col min="9" max="9" width="7.42578125" bestFit="1" customWidth="1"/>
    <col min="10" max="10" width="6.5703125" customWidth="1"/>
    <col min="11" max="11" width="13.42578125" customWidth="1"/>
    <col min="12" max="12" width="12.42578125" customWidth="1"/>
    <col min="13" max="13" width="3.28515625" customWidth="1"/>
    <col min="14" max="14" width="11.5703125" bestFit="1" customWidth="1"/>
    <col min="15" max="15" width="7.42578125" bestFit="1" customWidth="1"/>
    <col min="16" max="16" width="2.7109375" customWidth="1"/>
    <col min="17" max="17" width="9.5703125" bestFit="1" customWidth="1"/>
    <col min="18" max="18" width="7.42578125" bestFit="1" customWidth="1"/>
    <col min="19" max="19" width="4.28515625" customWidth="1"/>
    <col min="20" max="20" width="11.42578125" bestFit="1" customWidth="1"/>
    <col min="21" max="21" width="7.42578125" bestFit="1" customWidth="1"/>
    <col min="22" max="22" width="3.7109375" customWidth="1"/>
    <col min="23" max="23" width="14.5703125" bestFit="1" customWidth="1"/>
    <col min="24" max="24" width="7.42578125" bestFit="1" customWidth="1"/>
  </cols>
  <sheetData>
    <row r="1" spans="1:32" ht="8.25" customHeight="1" x14ac:dyDescent="0.6">
      <c r="A1" s="3"/>
      <c r="B1" s="1"/>
      <c r="C1" s="1"/>
      <c r="D1" s="1"/>
      <c r="E1" s="1"/>
      <c r="F1" s="1"/>
      <c r="G1" s="1"/>
      <c r="H1" s="1"/>
      <c r="I1" s="1"/>
      <c r="J1" s="1"/>
      <c r="K1" s="1"/>
      <c r="L1" s="2"/>
    </row>
    <row r="2" spans="1:32" ht="52.15" customHeight="1" x14ac:dyDescent="0.2">
      <c r="A2" s="3"/>
      <c r="B2" s="35"/>
      <c r="C2" s="69" t="str">
        <f>("-  September Monthly Budget")</f>
        <v>-  September Monthly Budget</v>
      </c>
      <c r="E2" s="35"/>
      <c r="F2" s="35"/>
      <c r="G2" s="35"/>
      <c r="H2" s="35"/>
      <c r="I2" s="35"/>
      <c r="J2" s="35"/>
      <c r="K2" s="35"/>
      <c r="L2" s="35"/>
    </row>
    <row r="3" spans="1:32" ht="8.25" customHeight="1" x14ac:dyDescent="0.2">
      <c r="A3" s="2"/>
      <c r="B3" s="98"/>
      <c r="C3" s="98"/>
      <c r="D3" s="98"/>
      <c r="E3" s="4"/>
      <c r="F3" s="5"/>
      <c r="G3" s="4"/>
      <c r="H3" s="6"/>
      <c r="I3" s="6"/>
      <c r="J3" s="6"/>
      <c r="K3" s="7"/>
      <c r="L3" s="8"/>
    </row>
    <row r="4" spans="1:32" ht="16.149999999999999" customHeight="1" x14ac:dyDescent="0.2">
      <c r="A4" s="2"/>
      <c r="B4" s="114" t="s">
        <v>29</v>
      </c>
      <c r="C4" s="105" t="s">
        <v>3</v>
      </c>
      <c r="D4" s="106"/>
      <c r="E4" s="15">
        <f>'Starting Page'!I31</f>
        <v>300</v>
      </c>
      <c r="F4" s="5"/>
      <c r="G4" s="102" t="s">
        <v>34</v>
      </c>
      <c r="H4" s="102"/>
      <c r="I4" s="102"/>
      <c r="J4" s="102"/>
      <c r="K4" s="102"/>
      <c r="L4" s="117">
        <f>E6-E62</f>
        <v>-4190</v>
      </c>
      <c r="Y4" s="23"/>
      <c r="Z4" s="23"/>
      <c r="AA4" s="23"/>
      <c r="AB4" s="23"/>
      <c r="AC4" s="23"/>
      <c r="AD4" s="23"/>
      <c r="AE4" s="23"/>
      <c r="AF4" s="23"/>
    </row>
    <row r="5" spans="1:32" ht="16.149999999999999" customHeight="1" x14ac:dyDescent="0.2">
      <c r="A5" s="2"/>
      <c r="B5" s="115"/>
      <c r="C5" s="105" t="s">
        <v>18</v>
      </c>
      <c r="D5" s="106"/>
      <c r="E5" s="15"/>
      <c r="F5" s="5"/>
      <c r="G5" s="102"/>
      <c r="H5" s="102"/>
      <c r="I5" s="102"/>
      <c r="J5" s="102"/>
      <c r="K5" s="102"/>
      <c r="L5" s="117"/>
      <c r="Q5" s="99"/>
      <c r="R5" s="99"/>
      <c r="S5" s="44"/>
      <c r="T5" s="99"/>
      <c r="U5" s="99"/>
      <c r="V5" s="44"/>
      <c r="W5" s="99"/>
      <c r="X5" s="99"/>
      <c r="Y5" s="44"/>
      <c r="Z5" s="23"/>
      <c r="AA5" s="23"/>
      <c r="AB5" s="23"/>
      <c r="AC5" s="23"/>
      <c r="AD5" s="23"/>
      <c r="AE5" s="23"/>
      <c r="AF5" s="23"/>
    </row>
    <row r="6" spans="1:32" ht="16.149999999999999" customHeight="1" x14ac:dyDescent="0.2">
      <c r="A6" s="2"/>
      <c r="B6" s="116"/>
      <c r="C6" s="100" t="s">
        <v>19</v>
      </c>
      <c r="D6" s="101"/>
      <c r="E6" s="32">
        <f>SUM(E4:E5)</f>
        <v>300</v>
      </c>
      <c r="F6" s="5"/>
      <c r="G6" s="102" t="s">
        <v>35</v>
      </c>
      <c r="H6" s="102"/>
      <c r="I6" s="102"/>
      <c r="J6" s="102"/>
      <c r="K6" s="102"/>
      <c r="L6" s="117">
        <f>E9-E64</f>
        <v>0</v>
      </c>
      <c r="Q6" s="44"/>
      <c r="R6" s="44"/>
      <c r="S6" s="44"/>
      <c r="T6" s="44"/>
      <c r="U6" s="44"/>
      <c r="V6" s="44"/>
      <c r="W6" s="44"/>
      <c r="X6" s="44"/>
      <c r="Y6" s="44"/>
      <c r="Z6" s="23"/>
      <c r="AA6" s="23"/>
      <c r="AB6" s="23"/>
      <c r="AC6" s="23"/>
      <c r="AD6" s="23"/>
      <c r="AE6" s="23"/>
      <c r="AF6" s="23"/>
    </row>
    <row r="7" spans="1:32" ht="16.149999999999999" customHeight="1" x14ac:dyDescent="0.2">
      <c r="A7" s="2"/>
      <c r="B7" s="114" t="s">
        <v>28</v>
      </c>
      <c r="C7" s="105" t="s">
        <v>3</v>
      </c>
      <c r="D7" s="106"/>
      <c r="E7" s="15">
        <f>I23</f>
        <v>0</v>
      </c>
      <c r="F7" s="5"/>
      <c r="G7" s="102"/>
      <c r="H7" s="102"/>
      <c r="I7" s="102"/>
      <c r="J7" s="102"/>
      <c r="K7" s="102"/>
      <c r="L7" s="117"/>
      <c r="P7" s="34"/>
      <c r="Q7" s="44"/>
      <c r="R7" s="44"/>
      <c r="S7" s="44"/>
      <c r="T7" s="44"/>
      <c r="U7" s="44"/>
      <c r="V7" s="44"/>
      <c r="W7" s="44"/>
      <c r="X7" s="44"/>
      <c r="Y7" s="44"/>
    </row>
    <row r="8" spans="1:32" ht="16.149999999999999" customHeight="1" x14ac:dyDescent="0.2">
      <c r="A8" s="2"/>
      <c r="B8" s="115"/>
      <c r="C8" s="105" t="s">
        <v>18</v>
      </c>
      <c r="D8" s="106"/>
      <c r="E8" s="15"/>
      <c r="F8" s="5"/>
      <c r="G8" s="102" t="s">
        <v>36</v>
      </c>
      <c r="H8" s="102"/>
      <c r="I8" s="102"/>
      <c r="J8" s="102"/>
      <c r="K8" s="102"/>
      <c r="L8" s="117">
        <f>L6-L4</f>
        <v>4190</v>
      </c>
      <c r="Q8" s="44"/>
      <c r="R8" s="44"/>
      <c r="S8" s="44"/>
      <c r="T8" s="44"/>
      <c r="U8" s="44"/>
      <c r="V8" s="44"/>
      <c r="W8" s="44"/>
      <c r="X8" s="44"/>
      <c r="Y8" s="44"/>
    </row>
    <row r="9" spans="1:32" ht="16.149999999999999" customHeight="1" x14ac:dyDescent="0.2">
      <c r="A9" s="2"/>
      <c r="B9" s="116"/>
      <c r="C9" s="100" t="s">
        <v>19</v>
      </c>
      <c r="D9" s="101"/>
      <c r="E9" s="32">
        <f>SUM(E7:E8)</f>
        <v>0</v>
      </c>
      <c r="F9" s="5"/>
      <c r="G9" s="102"/>
      <c r="H9" s="102"/>
      <c r="I9" s="102"/>
      <c r="J9" s="102"/>
      <c r="K9" s="102"/>
      <c r="L9" s="117"/>
      <c r="Q9" s="60"/>
      <c r="R9" s="61"/>
      <c r="S9" s="44"/>
      <c r="T9" s="60"/>
      <c r="U9" s="61"/>
      <c r="V9" s="44"/>
      <c r="W9" s="60"/>
      <c r="X9" s="61"/>
      <c r="Y9" s="44"/>
    </row>
    <row r="10" spans="1:32" ht="16.149999999999999" customHeight="1" thickBot="1" x14ac:dyDescent="0.25">
      <c r="A10" s="2"/>
      <c r="B10" s="31"/>
      <c r="C10" s="31"/>
      <c r="D10" s="9"/>
      <c r="E10" s="10"/>
      <c r="F10" s="5"/>
      <c r="G10" s="11"/>
      <c r="H10" s="11"/>
      <c r="I10" s="11"/>
      <c r="J10" s="11"/>
      <c r="K10" s="11"/>
      <c r="L10" s="12"/>
      <c r="R10" s="23"/>
    </row>
    <row r="11" spans="1:32" ht="16.149999999999999" customHeight="1" thickBot="1" x14ac:dyDescent="0.25">
      <c r="A11" s="2"/>
      <c r="B11" s="16" t="s">
        <v>80</v>
      </c>
      <c r="C11" s="17" t="s">
        <v>0</v>
      </c>
      <c r="D11" s="17" t="s">
        <v>1</v>
      </c>
      <c r="E11" s="18" t="s">
        <v>2</v>
      </c>
      <c r="F11" s="5"/>
      <c r="G11" s="11"/>
      <c r="H11" s="92" t="s">
        <v>42</v>
      </c>
      <c r="I11" s="94"/>
      <c r="J11" s="11"/>
      <c r="K11" s="139" t="s">
        <v>104</v>
      </c>
      <c r="L11" s="140"/>
      <c r="M11" s="140"/>
      <c r="N11" s="140"/>
      <c r="O11" s="140"/>
      <c r="P11" s="140"/>
      <c r="Q11" s="140"/>
      <c r="R11" s="140"/>
      <c r="S11" s="140"/>
      <c r="T11" s="140"/>
      <c r="U11" s="140"/>
      <c r="V11" s="140"/>
      <c r="W11" s="140"/>
      <c r="X11" s="141"/>
    </row>
    <row r="12" spans="1:32" ht="16.149999999999999" customHeight="1" thickBot="1" x14ac:dyDescent="0.25">
      <c r="A12" s="2"/>
      <c r="B12" s="22" t="s">
        <v>50</v>
      </c>
      <c r="C12" s="19">
        <f>Table114385062748698265[[#This Row],[Projected Cost]]/2</f>
        <v>2500</v>
      </c>
      <c r="D12" s="19">
        <f>L16</f>
        <v>0</v>
      </c>
      <c r="E12" s="20">
        <f>Table1143850627486982[Projected Cost]-Table1143850627486982[Actual Cost]</f>
        <v>2500</v>
      </c>
      <c r="F12" s="5"/>
      <c r="H12" s="24" t="s">
        <v>38</v>
      </c>
      <c r="I12" s="25" t="s">
        <v>46</v>
      </c>
      <c r="J12" s="41"/>
      <c r="K12" s="142" t="s">
        <v>50</v>
      </c>
      <c r="L12" s="143"/>
      <c r="M12" s="44"/>
      <c r="N12" s="142" t="s">
        <v>51</v>
      </c>
      <c r="O12" s="143"/>
      <c r="P12" s="44"/>
      <c r="Q12" s="146" t="s">
        <v>54</v>
      </c>
      <c r="R12" s="147"/>
      <c r="S12" s="44"/>
      <c r="T12" s="142" t="s">
        <v>5</v>
      </c>
      <c r="U12" s="143"/>
      <c r="V12" s="44"/>
      <c r="W12" s="142" t="s">
        <v>6</v>
      </c>
      <c r="X12" s="143"/>
    </row>
    <row r="13" spans="1:32" ht="16.149999999999999" customHeight="1" thickBot="1" x14ac:dyDescent="0.25">
      <c r="A13" s="2"/>
      <c r="B13" s="22" t="s">
        <v>51</v>
      </c>
      <c r="C13" s="19">
        <v>100</v>
      </c>
      <c r="D13" s="19">
        <f>O16</f>
        <v>0</v>
      </c>
      <c r="E13" s="20">
        <f>Table1143850627486982[Projected Cost]-Table1143850627486982[Actual Cost]</f>
        <v>100</v>
      </c>
      <c r="F13" s="5"/>
      <c r="H13" s="26" t="s">
        <v>44</v>
      </c>
      <c r="I13" s="27"/>
      <c r="J13" s="42"/>
      <c r="K13" s="45" t="s">
        <v>38</v>
      </c>
      <c r="L13" s="46" t="s">
        <v>46</v>
      </c>
      <c r="M13" s="44"/>
      <c r="N13" s="45" t="s">
        <v>38</v>
      </c>
      <c r="O13" s="46" t="s">
        <v>46</v>
      </c>
      <c r="P13" s="44"/>
      <c r="Q13" s="45" t="s">
        <v>38</v>
      </c>
      <c r="R13" s="46" t="s">
        <v>46</v>
      </c>
      <c r="S13" s="44"/>
      <c r="T13" s="45" t="s">
        <v>38</v>
      </c>
      <c r="U13" s="46" t="s">
        <v>46</v>
      </c>
      <c r="V13" s="44"/>
      <c r="W13" s="45" t="s">
        <v>38</v>
      </c>
      <c r="X13" s="46" t="s">
        <v>46</v>
      </c>
    </row>
    <row r="14" spans="1:32" ht="16.149999999999999" customHeight="1" x14ac:dyDescent="0.2">
      <c r="A14" s="2"/>
      <c r="B14" s="22" t="s">
        <v>52</v>
      </c>
      <c r="C14" s="19">
        <v>750</v>
      </c>
      <c r="D14" s="19">
        <f>R22</f>
        <v>0</v>
      </c>
      <c r="E14" s="20">
        <f>Table1143850627486982[Projected Cost]-Table1143850627486982[Actual Cost]</f>
        <v>750</v>
      </c>
      <c r="F14" s="5"/>
      <c r="H14" s="26"/>
      <c r="I14" s="27"/>
      <c r="J14" s="42"/>
      <c r="K14" s="47" t="s">
        <v>53</v>
      </c>
      <c r="L14" s="48"/>
      <c r="M14" s="44"/>
      <c r="N14" s="47" t="s">
        <v>56</v>
      </c>
      <c r="O14" s="48"/>
      <c r="P14" s="44"/>
      <c r="Q14" s="47" t="s">
        <v>55</v>
      </c>
      <c r="R14" s="48"/>
      <c r="S14" s="44"/>
      <c r="T14" s="47" t="s">
        <v>57</v>
      </c>
      <c r="U14" s="48"/>
      <c r="V14" s="44"/>
      <c r="W14" s="47"/>
      <c r="X14" s="48"/>
    </row>
    <row r="15" spans="1:32" ht="16.149999999999999" customHeight="1" thickBot="1" x14ac:dyDescent="0.25">
      <c r="A15" s="2"/>
      <c r="B15" s="22" t="s">
        <v>5</v>
      </c>
      <c r="C15" s="19">
        <v>100</v>
      </c>
      <c r="D15" s="19">
        <f>U22</f>
        <v>0</v>
      </c>
      <c r="E15" s="20">
        <f>Table1143850627486982[Projected Cost]-Table1143850627486982[Actual Cost]</f>
        <v>100</v>
      </c>
      <c r="F15" s="5"/>
      <c r="H15" s="26"/>
      <c r="I15" s="27"/>
      <c r="J15" s="42"/>
      <c r="K15" s="47"/>
      <c r="L15" s="48"/>
      <c r="M15" s="44"/>
      <c r="N15" s="47"/>
      <c r="O15" s="48"/>
      <c r="P15" s="44"/>
      <c r="Q15" s="47"/>
      <c r="R15" s="48"/>
      <c r="S15" s="44"/>
      <c r="T15" s="47"/>
      <c r="U15" s="48"/>
      <c r="V15" s="44"/>
      <c r="W15" s="47"/>
      <c r="X15" s="48"/>
    </row>
    <row r="16" spans="1:32" ht="16.149999999999999" customHeight="1" thickBot="1" x14ac:dyDescent="0.25">
      <c r="A16" s="2"/>
      <c r="B16" s="22" t="s">
        <v>6</v>
      </c>
      <c r="C16" s="19">
        <v>50</v>
      </c>
      <c r="D16" s="19">
        <f>X18</f>
        <v>0</v>
      </c>
      <c r="E16" s="20">
        <f>Table1143850627486982[Projected Cost]-Table1143850627486982[Actual Cost]</f>
        <v>50</v>
      </c>
      <c r="F16" s="5"/>
      <c r="H16" s="26"/>
      <c r="I16" s="27"/>
      <c r="J16" s="42"/>
      <c r="K16" s="49" t="s">
        <v>33</v>
      </c>
      <c r="L16" s="50">
        <f>SUM(L14:L15)</f>
        <v>0</v>
      </c>
      <c r="M16" s="44"/>
      <c r="N16" s="49" t="s">
        <v>33</v>
      </c>
      <c r="O16" s="50">
        <f>SUM(O14:O15)</f>
        <v>0</v>
      </c>
      <c r="P16" s="44"/>
      <c r="Q16" s="47"/>
      <c r="R16" s="48"/>
      <c r="S16" s="44"/>
      <c r="T16" s="47"/>
      <c r="U16" s="48"/>
      <c r="V16" s="44"/>
      <c r="W16" s="47"/>
      <c r="X16" s="48"/>
    </row>
    <row r="17" spans="1:24" ht="16.149999999999999" customHeight="1" thickBot="1" x14ac:dyDescent="0.25">
      <c r="A17" s="2"/>
      <c r="B17" s="16" t="s">
        <v>33</v>
      </c>
      <c r="C17" s="19">
        <f>SUBTOTAL(109,Table1143850627486982[Projected Cost])</f>
        <v>3500</v>
      </c>
      <c r="D17" s="19">
        <f>SUBTOTAL(109,Table1143850627486982[Actual Cost])</f>
        <v>0</v>
      </c>
      <c r="E17" s="21">
        <f>SUBTOTAL(109,Table1143850627486982[Difference])</f>
        <v>3500</v>
      </c>
      <c r="F17" s="5"/>
      <c r="H17" s="28"/>
      <c r="I17" s="29"/>
      <c r="J17" s="42"/>
      <c r="K17" s="51"/>
      <c r="L17" s="44"/>
      <c r="M17" s="44"/>
      <c r="N17" s="44"/>
      <c r="O17" s="44"/>
      <c r="P17" s="44"/>
      <c r="Q17" s="47"/>
      <c r="R17" s="48"/>
      <c r="S17" s="44"/>
      <c r="T17" s="47"/>
      <c r="U17" s="48"/>
      <c r="V17" s="44"/>
      <c r="W17" s="47"/>
      <c r="X17" s="48"/>
    </row>
    <row r="18" spans="1:24" ht="16.149999999999999" customHeight="1" thickBot="1" x14ac:dyDescent="0.25">
      <c r="A18" s="2"/>
      <c r="B18" s="16"/>
      <c r="C18" s="19"/>
      <c r="D18" s="19"/>
      <c r="E18" s="21"/>
      <c r="F18" s="5"/>
      <c r="H18" s="28"/>
      <c r="I18" s="29"/>
      <c r="J18" s="42"/>
      <c r="K18" s="52"/>
      <c r="L18" s="53"/>
      <c r="M18" s="44"/>
      <c r="N18" s="44"/>
      <c r="O18" s="44"/>
      <c r="P18" s="44"/>
      <c r="Q18" s="47"/>
      <c r="R18" s="48"/>
      <c r="S18" s="44"/>
      <c r="T18" s="47"/>
      <c r="U18" s="48"/>
      <c r="V18" s="44"/>
      <c r="W18" s="49" t="s">
        <v>33</v>
      </c>
      <c r="X18" s="50">
        <f>SUM(X14:X17)</f>
        <v>0</v>
      </c>
    </row>
    <row r="19" spans="1:24" ht="16.149999999999999" customHeight="1" x14ac:dyDescent="0.2">
      <c r="A19" s="2"/>
      <c r="B19" s="16" t="s">
        <v>22</v>
      </c>
      <c r="C19" s="17" t="s">
        <v>0</v>
      </c>
      <c r="D19" s="17" t="s">
        <v>1</v>
      </c>
      <c r="E19" s="18" t="s">
        <v>2</v>
      </c>
      <c r="F19" s="14"/>
      <c r="H19" s="28"/>
      <c r="I19" s="29"/>
      <c r="J19" s="42"/>
      <c r="K19" s="52"/>
      <c r="L19" s="53"/>
      <c r="M19" s="44"/>
      <c r="N19" s="44"/>
      <c r="O19" s="44"/>
      <c r="P19" s="44"/>
      <c r="Q19" s="47"/>
      <c r="R19" s="48"/>
      <c r="S19" s="44"/>
      <c r="T19" s="47"/>
      <c r="U19" s="48"/>
      <c r="V19" s="44"/>
      <c r="W19" s="44"/>
      <c r="X19" s="54"/>
    </row>
    <row r="20" spans="1:24" ht="15.75" customHeight="1" x14ac:dyDescent="0.2">
      <c r="A20" s="2"/>
      <c r="B20" s="22" t="s">
        <v>48</v>
      </c>
      <c r="C20" s="19">
        <f>IF('Starting Page'!I24="Yes",'Starting Page'!I25/8,IF('Starting Page'!I27="Yes",'Starting Page'!I28,0))</f>
        <v>0</v>
      </c>
      <c r="D20" s="19">
        <f>L29</f>
        <v>0</v>
      </c>
      <c r="E20" s="20">
        <f>Table114385062748698[Projected Cost]-Table114385062748698[Actual Cost]</f>
        <v>0</v>
      </c>
      <c r="F20" s="33"/>
      <c r="H20" s="28"/>
      <c r="I20" s="29"/>
      <c r="J20" s="42"/>
      <c r="K20" s="51"/>
      <c r="L20" s="44"/>
      <c r="M20" s="44"/>
      <c r="N20" s="44"/>
      <c r="O20" s="44"/>
      <c r="P20" s="44"/>
      <c r="Q20" s="47"/>
      <c r="R20" s="48"/>
      <c r="S20" s="44"/>
      <c r="T20" s="47"/>
      <c r="U20" s="48"/>
      <c r="V20" s="44"/>
      <c r="W20" s="44"/>
      <c r="X20" s="54"/>
    </row>
    <row r="21" spans="1:24" ht="15.75" customHeight="1" thickBot="1" x14ac:dyDescent="0.25">
      <c r="A21" s="2"/>
      <c r="B21" s="22" t="s">
        <v>4</v>
      </c>
      <c r="C21" s="19">
        <v>70</v>
      </c>
      <c r="D21" s="19">
        <f>O29</f>
        <v>0</v>
      </c>
      <c r="E21" s="20">
        <f>Table114385062748698[Projected Cost]-Table114385062748698[Actual Cost]</f>
        <v>70</v>
      </c>
      <c r="F21" s="33"/>
      <c r="H21" s="28"/>
      <c r="I21" s="29"/>
      <c r="J21" s="42"/>
      <c r="K21" s="51"/>
      <c r="L21" s="44"/>
      <c r="M21" s="44"/>
      <c r="N21" s="44"/>
      <c r="O21" s="44"/>
      <c r="P21" s="44"/>
      <c r="Q21" s="47"/>
      <c r="R21" s="48"/>
      <c r="S21" s="44"/>
      <c r="T21" s="47"/>
      <c r="U21" s="48"/>
      <c r="V21" s="44"/>
      <c r="W21" s="44"/>
      <c r="X21" s="54"/>
    </row>
    <row r="22" spans="1:24" ht="15.75" customHeight="1" thickBot="1" x14ac:dyDescent="0.25">
      <c r="A22" s="2"/>
      <c r="B22" s="22" t="s">
        <v>47</v>
      </c>
      <c r="C22" s="19">
        <v>20</v>
      </c>
      <c r="D22" s="19">
        <f>R29</f>
        <v>0</v>
      </c>
      <c r="E22" s="20">
        <f>Table114385062748698[Projected Cost]-Table114385062748698[Actual Cost]</f>
        <v>20</v>
      </c>
      <c r="F22" s="33"/>
      <c r="H22" s="28"/>
      <c r="I22" s="29"/>
      <c r="J22" s="42"/>
      <c r="K22" s="55"/>
      <c r="L22" s="56"/>
      <c r="M22" s="56"/>
      <c r="N22" s="56"/>
      <c r="O22" s="56"/>
      <c r="P22" s="56"/>
      <c r="Q22" s="49" t="s">
        <v>33</v>
      </c>
      <c r="R22" s="50">
        <f>SUM(R14:R21)</f>
        <v>0</v>
      </c>
      <c r="S22" s="56"/>
      <c r="T22" s="49" t="s">
        <v>33</v>
      </c>
      <c r="U22" s="50">
        <f>SUM(U14:U21)</f>
        <v>0</v>
      </c>
      <c r="V22" s="56"/>
      <c r="W22" s="56"/>
      <c r="X22" s="57"/>
    </row>
    <row r="23" spans="1:24" ht="15.75" customHeight="1" thickBot="1" x14ac:dyDescent="0.25">
      <c r="A23" s="2"/>
      <c r="B23" s="22" t="s">
        <v>37</v>
      </c>
      <c r="C23" s="19">
        <v>20</v>
      </c>
      <c r="D23" s="19">
        <f>U29</f>
        <v>0</v>
      </c>
      <c r="E23" s="20">
        <f>Table114385062748698[Projected Cost]-Table114385062748698[Actual Cost]</f>
        <v>20</v>
      </c>
      <c r="F23" s="33"/>
      <c r="H23" s="36" t="s">
        <v>33</v>
      </c>
      <c r="I23" s="30">
        <f>SUM(I13:I22)</f>
        <v>0</v>
      </c>
      <c r="J23" s="42"/>
      <c r="U23" s="23"/>
    </row>
    <row r="24" spans="1:24" ht="15.75" customHeight="1" thickBot="1" x14ac:dyDescent="0.25">
      <c r="A24" s="2"/>
      <c r="B24" s="22" t="s">
        <v>6</v>
      </c>
      <c r="C24" s="19">
        <v>50</v>
      </c>
      <c r="D24" s="19">
        <f>X29</f>
        <v>0</v>
      </c>
      <c r="E24" s="20">
        <f>Table114385062748698[Projected Cost]-Table114385062748698[Actual Cost]</f>
        <v>50</v>
      </c>
      <c r="F24" s="33"/>
      <c r="I24" s="43"/>
      <c r="J24" s="42"/>
      <c r="K24" s="139" t="s">
        <v>58</v>
      </c>
      <c r="L24" s="140"/>
      <c r="M24" s="140"/>
      <c r="N24" s="140"/>
      <c r="O24" s="140"/>
      <c r="P24" s="140"/>
      <c r="Q24" s="140"/>
      <c r="R24" s="140"/>
      <c r="S24" s="140"/>
      <c r="T24" s="140"/>
      <c r="U24" s="140"/>
      <c r="V24" s="140"/>
      <c r="W24" s="140"/>
      <c r="X24" s="141"/>
    </row>
    <row r="25" spans="1:24" ht="15.75" customHeight="1" thickBot="1" x14ac:dyDescent="0.25">
      <c r="A25" s="2"/>
      <c r="B25" s="16" t="s">
        <v>33</v>
      </c>
      <c r="C25" s="19">
        <f>SUBTOTAL(109,Table114385062748698[Projected Cost])</f>
        <v>160</v>
      </c>
      <c r="D25" s="19">
        <f>SUBTOTAL(109,Table114385062748698[Actual Cost])</f>
        <v>0</v>
      </c>
      <c r="E25" s="21">
        <f>SUBTOTAL(109,Table114385062748698[Difference])</f>
        <v>160</v>
      </c>
      <c r="F25" s="33"/>
      <c r="J25" s="42"/>
      <c r="K25" s="142" t="s">
        <v>48</v>
      </c>
      <c r="L25" s="143"/>
      <c r="M25" s="44"/>
      <c r="N25" s="142" t="s">
        <v>4</v>
      </c>
      <c r="O25" s="143"/>
      <c r="P25" s="44"/>
      <c r="Q25" s="142" t="s">
        <v>47</v>
      </c>
      <c r="R25" s="143"/>
      <c r="S25" s="44"/>
      <c r="T25" s="142" t="s">
        <v>37</v>
      </c>
      <c r="U25" s="143"/>
      <c r="V25" s="44"/>
      <c r="W25" s="142" t="s">
        <v>6</v>
      </c>
      <c r="X25" s="143"/>
    </row>
    <row r="26" spans="1:24" ht="15.75" customHeight="1" thickBot="1" x14ac:dyDescent="0.25">
      <c r="A26" s="2"/>
      <c r="B26" s="113"/>
      <c r="C26" s="113"/>
      <c r="D26" s="113"/>
      <c r="E26" s="113"/>
      <c r="F26" s="33"/>
      <c r="J26" s="42"/>
      <c r="K26" s="45" t="s">
        <v>38</v>
      </c>
      <c r="L26" s="46" t="s">
        <v>46</v>
      </c>
      <c r="M26" s="44"/>
      <c r="N26" s="45" t="s">
        <v>38</v>
      </c>
      <c r="O26" s="46" t="s">
        <v>46</v>
      </c>
      <c r="P26" s="44"/>
      <c r="Q26" s="45" t="s">
        <v>38</v>
      </c>
      <c r="R26" s="46" t="s">
        <v>46</v>
      </c>
      <c r="S26" s="44"/>
      <c r="T26" s="45" t="s">
        <v>38</v>
      </c>
      <c r="U26" s="46" t="s">
        <v>46</v>
      </c>
      <c r="V26" s="44"/>
      <c r="W26" s="45" t="s">
        <v>38</v>
      </c>
      <c r="X26" s="46" t="s">
        <v>46</v>
      </c>
    </row>
    <row r="27" spans="1:24" ht="15.75" customHeight="1" x14ac:dyDescent="0.2">
      <c r="A27" s="2"/>
      <c r="B27" s="16" t="s">
        <v>24</v>
      </c>
      <c r="C27" s="17" t="s">
        <v>0</v>
      </c>
      <c r="D27" s="17" t="s">
        <v>1</v>
      </c>
      <c r="E27" s="18" t="s">
        <v>2</v>
      </c>
      <c r="F27" s="33"/>
      <c r="J27" s="42"/>
      <c r="K27" s="47" t="s">
        <v>48</v>
      </c>
      <c r="L27" s="48"/>
      <c r="M27" s="44"/>
      <c r="N27" s="47" t="s">
        <v>59</v>
      </c>
      <c r="O27" s="48"/>
      <c r="P27" s="44"/>
      <c r="Q27" s="47" t="s">
        <v>60</v>
      </c>
      <c r="R27" s="48"/>
      <c r="S27" s="44"/>
      <c r="T27" s="47" t="s">
        <v>59</v>
      </c>
      <c r="U27" s="48"/>
      <c r="V27" s="44"/>
      <c r="W27" s="47" t="s">
        <v>61</v>
      </c>
      <c r="X27" s="48"/>
    </row>
    <row r="28" spans="1:24" ht="15.75" customHeight="1" thickBot="1" x14ac:dyDescent="0.25">
      <c r="A28" s="2"/>
      <c r="B28" s="22" t="s">
        <v>20</v>
      </c>
      <c r="C28" s="19">
        <v>0</v>
      </c>
      <c r="D28" s="19">
        <f>L36</f>
        <v>0</v>
      </c>
      <c r="E28" s="20">
        <f>Table3214557698193105[Projected Cost]-Table3214557698193105[Actual Cost]</f>
        <v>0</v>
      </c>
      <c r="F28" s="33"/>
      <c r="J28" s="43"/>
      <c r="K28" s="47"/>
      <c r="L28" s="48"/>
      <c r="M28" s="44"/>
      <c r="N28" s="47"/>
      <c r="O28" s="48"/>
      <c r="P28" s="44"/>
      <c r="Q28" s="47"/>
      <c r="R28" s="48"/>
      <c r="S28" s="44"/>
      <c r="T28" s="47"/>
      <c r="U28" s="48"/>
      <c r="V28" s="44"/>
      <c r="W28" s="47"/>
      <c r="X28" s="48"/>
    </row>
    <row r="29" spans="1:24" ht="15.75" customHeight="1" thickBot="1" x14ac:dyDescent="0.25">
      <c r="A29" s="2"/>
      <c r="B29" s="22" t="s">
        <v>7</v>
      </c>
      <c r="C29" s="19">
        <v>0</v>
      </c>
      <c r="D29" s="19">
        <f>O36</f>
        <v>0</v>
      </c>
      <c r="E29" s="20">
        <f>Table3214557698193105[Projected Cost]-Table3214557698193105[Actual Cost]</f>
        <v>0</v>
      </c>
      <c r="F29" s="33"/>
      <c r="K29" s="49" t="s">
        <v>33</v>
      </c>
      <c r="L29" s="50">
        <f>SUM(L27:L28)</f>
        <v>0</v>
      </c>
      <c r="M29" s="56"/>
      <c r="N29" s="49" t="s">
        <v>33</v>
      </c>
      <c r="O29" s="50">
        <f>SUM(O27:O28)</f>
        <v>0</v>
      </c>
      <c r="P29" s="56"/>
      <c r="Q29" s="49" t="s">
        <v>33</v>
      </c>
      <c r="R29" s="50">
        <f>SUM(R27:R28)</f>
        <v>0</v>
      </c>
      <c r="S29" s="56"/>
      <c r="T29" s="49" t="s">
        <v>33</v>
      </c>
      <c r="U29" s="50">
        <f>SUM(U27:U28)</f>
        <v>0</v>
      </c>
      <c r="V29" s="56"/>
      <c r="W29" s="49" t="s">
        <v>33</v>
      </c>
      <c r="X29" s="50">
        <f>SUM(X27:X28)</f>
        <v>0</v>
      </c>
    </row>
    <row r="30" spans="1:24" ht="15.75" customHeight="1" thickBot="1" x14ac:dyDescent="0.25">
      <c r="A30" s="2"/>
      <c r="B30" s="22" t="s">
        <v>8</v>
      </c>
      <c r="C30" s="19">
        <v>0</v>
      </c>
      <c r="D30" s="19">
        <f>R40</f>
        <v>0</v>
      </c>
      <c r="E30" s="20">
        <f>Table3214557698193105[Projected Cost]-Table3214557698193105[Actual Cost]</f>
        <v>0</v>
      </c>
      <c r="F30" s="33"/>
      <c r="K30" s="44"/>
      <c r="L30" s="44"/>
      <c r="M30" s="44"/>
      <c r="N30" s="44"/>
      <c r="O30" s="44"/>
      <c r="P30" s="44"/>
      <c r="Q30" s="58"/>
      <c r="R30" s="58"/>
      <c r="S30" s="58"/>
      <c r="T30" s="58"/>
      <c r="U30" s="58"/>
      <c r="V30" s="44"/>
      <c r="W30" s="44"/>
      <c r="X30" s="44"/>
    </row>
    <row r="31" spans="1:24" ht="15.75" customHeight="1" thickBot="1" x14ac:dyDescent="0.25">
      <c r="A31" s="2"/>
      <c r="B31" s="22" t="s">
        <v>9</v>
      </c>
      <c r="C31" s="19">
        <v>0</v>
      </c>
      <c r="D31" s="19">
        <f>U38</f>
        <v>0</v>
      </c>
      <c r="E31" s="20">
        <f>Table3214557698193105[Projected Cost]-Table3214557698193105[Actual Cost]</f>
        <v>0</v>
      </c>
      <c r="F31" s="33"/>
      <c r="K31" s="139" t="s">
        <v>63</v>
      </c>
      <c r="L31" s="140"/>
      <c r="M31" s="140"/>
      <c r="N31" s="140"/>
      <c r="O31" s="140"/>
      <c r="P31" s="140"/>
      <c r="Q31" s="140"/>
      <c r="R31" s="140"/>
      <c r="S31" s="140"/>
      <c r="T31" s="140"/>
      <c r="U31" s="140"/>
      <c r="V31" s="140"/>
      <c r="W31" s="140"/>
      <c r="X31" s="141"/>
    </row>
    <row r="32" spans="1:24" ht="15.75" customHeight="1" thickBot="1" x14ac:dyDescent="0.25">
      <c r="A32" s="2"/>
      <c r="B32" s="22" t="s">
        <v>62</v>
      </c>
      <c r="C32" s="19">
        <v>50</v>
      </c>
      <c r="D32" s="19">
        <f>X40</f>
        <v>0</v>
      </c>
      <c r="E32" s="20">
        <f>Table3214557698193105[Projected Cost]-Table3214557698193105[Actual Cost]</f>
        <v>50</v>
      </c>
      <c r="F32" s="33"/>
      <c r="K32" s="142" t="s">
        <v>39</v>
      </c>
      <c r="L32" s="143"/>
      <c r="M32" s="44"/>
      <c r="N32" s="142" t="s">
        <v>7</v>
      </c>
      <c r="O32" s="143"/>
      <c r="P32" s="44"/>
      <c r="Q32" s="142" t="s">
        <v>8</v>
      </c>
      <c r="R32" s="143"/>
      <c r="S32" s="44"/>
      <c r="T32" s="142" t="s">
        <v>9</v>
      </c>
      <c r="U32" s="143"/>
      <c r="V32" s="44"/>
      <c r="W32" s="142" t="s">
        <v>62</v>
      </c>
      <c r="X32" s="143"/>
    </row>
    <row r="33" spans="1:24" ht="15.75" customHeight="1" thickBot="1" x14ac:dyDescent="0.25">
      <c r="A33" s="2"/>
      <c r="B33" s="16" t="s">
        <v>33</v>
      </c>
      <c r="C33" s="19">
        <f>SUBTOTAL(109,Table3214557698193105[Projected Cost])</f>
        <v>50</v>
      </c>
      <c r="D33" s="19">
        <f>SUBTOTAL(109,Table3214557698193105[Actual Cost])</f>
        <v>0</v>
      </c>
      <c r="E33" s="21">
        <f>SUBTOTAL(109,Table3214557698193105[Difference])</f>
        <v>50</v>
      </c>
      <c r="F33" s="33"/>
      <c r="K33" s="45" t="s">
        <v>38</v>
      </c>
      <c r="L33" s="46" t="s">
        <v>46</v>
      </c>
      <c r="M33" s="44"/>
      <c r="N33" s="45" t="s">
        <v>38</v>
      </c>
      <c r="O33" s="46" t="s">
        <v>46</v>
      </c>
      <c r="P33" s="44"/>
      <c r="Q33" s="45" t="s">
        <v>38</v>
      </c>
      <c r="R33" s="46" t="s">
        <v>46</v>
      </c>
      <c r="S33" s="44"/>
      <c r="T33" s="45" t="s">
        <v>38</v>
      </c>
      <c r="U33" s="46" t="s">
        <v>46</v>
      </c>
      <c r="V33" s="44"/>
      <c r="W33" s="45" t="s">
        <v>38</v>
      </c>
      <c r="X33" s="46" t="s">
        <v>46</v>
      </c>
    </row>
    <row r="34" spans="1:24" ht="15.75" customHeight="1" x14ac:dyDescent="0.2">
      <c r="A34" s="2"/>
      <c r="B34" s="113"/>
      <c r="C34" s="113"/>
      <c r="D34" s="113"/>
      <c r="E34" s="113"/>
      <c r="F34" s="33"/>
      <c r="K34" s="47" t="s">
        <v>64</v>
      </c>
      <c r="L34" s="48"/>
      <c r="M34" s="44"/>
      <c r="N34" s="47" t="s">
        <v>59</v>
      </c>
      <c r="O34" s="48"/>
      <c r="P34" s="44"/>
      <c r="Q34" s="47" t="s">
        <v>65</v>
      </c>
      <c r="R34" s="48"/>
      <c r="S34" s="44"/>
      <c r="T34" s="47" t="s">
        <v>67</v>
      </c>
      <c r="U34" s="48"/>
      <c r="V34" s="44"/>
      <c r="W34" s="47" t="s">
        <v>66</v>
      </c>
      <c r="X34" s="48"/>
    </row>
    <row r="35" spans="1:24" ht="15.75" customHeight="1" thickBot="1" x14ac:dyDescent="0.25">
      <c r="A35" s="2"/>
      <c r="B35" s="16" t="s">
        <v>25</v>
      </c>
      <c r="C35" s="17" t="s">
        <v>0</v>
      </c>
      <c r="D35" s="17" t="s">
        <v>1</v>
      </c>
      <c r="E35" s="18" t="s">
        <v>2</v>
      </c>
      <c r="F35" s="33"/>
      <c r="K35" s="47"/>
      <c r="L35" s="48"/>
      <c r="M35" s="44"/>
      <c r="N35" s="47"/>
      <c r="O35" s="48"/>
      <c r="P35" s="44"/>
      <c r="Q35" s="47"/>
      <c r="R35" s="48"/>
      <c r="S35" s="44"/>
      <c r="T35" s="47"/>
      <c r="U35" s="48"/>
      <c r="V35" s="44"/>
      <c r="W35" s="47"/>
      <c r="X35" s="48"/>
    </row>
    <row r="36" spans="1:24" ht="15.75" customHeight="1" thickBot="1" x14ac:dyDescent="0.25">
      <c r="A36" s="2"/>
      <c r="B36" s="22" t="s">
        <v>68</v>
      </c>
      <c r="C36" s="19">
        <v>15</v>
      </c>
      <c r="D36" s="19">
        <f>L46</f>
        <v>0</v>
      </c>
      <c r="E36" s="20">
        <f>Table415395163758799[Projected Cost]-Table415395163758799[Actual Cost]</f>
        <v>15</v>
      </c>
      <c r="F36" s="33"/>
      <c r="K36" s="49" t="s">
        <v>33</v>
      </c>
      <c r="L36" s="50">
        <f>SUM(L34:L35)</f>
        <v>0</v>
      </c>
      <c r="M36" s="44"/>
      <c r="N36" s="49" t="s">
        <v>33</v>
      </c>
      <c r="O36" s="50">
        <f>SUM(O34:O35)</f>
        <v>0</v>
      </c>
      <c r="P36" s="44"/>
      <c r="Q36" s="47"/>
      <c r="R36" s="48"/>
      <c r="S36" s="44"/>
      <c r="T36" s="47"/>
      <c r="U36" s="48"/>
      <c r="V36" s="44"/>
      <c r="W36" s="47"/>
      <c r="X36" s="48"/>
    </row>
    <row r="37" spans="1:24" ht="15.75" customHeight="1" thickBot="1" x14ac:dyDescent="0.25">
      <c r="A37" s="2"/>
      <c r="B37" s="16" t="s">
        <v>33</v>
      </c>
      <c r="C37" s="19">
        <f>SUBTOTAL(109,Table415395163758799[Projected Cost])</f>
        <v>15</v>
      </c>
      <c r="D37" s="19">
        <f>SUBTOTAL(109,Table415395163758799[Actual Cost])</f>
        <v>0</v>
      </c>
      <c r="E37" s="21">
        <f>SUBTOTAL(109,Table415395163758799[Difference])</f>
        <v>15</v>
      </c>
      <c r="F37" s="33"/>
      <c r="K37" s="62"/>
      <c r="L37" s="58"/>
      <c r="M37" s="44"/>
      <c r="N37" s="58"/>
      <c r="O37" s="58"/>
      <c r="P37" s="44"/>
      <c r="Q37" s="47"/>
      <c r="R37" s="48"/>
      <c r="S37" s="44"/>
      <c r="T37" s="47"/>
      <c r="U37" s="48"/>
      <c r="V37" s="44"/>
      <c r="W37" s="47"/>
      <c r="X37" s="48"/>
    </row>
    <row r="38" spans="1:24" ht="15.75" customHeight="1" thickBot="1" x14ac:dyDescent="0.25">
      <c r="A38" s="2"/>
      <c r="B38" s="113"/>
      <c r="C38" s="113"/>
      <c r="D38" s="113"/>
      <c r="E38" s="113"/>
      <c r="F38" s="33"/>
      <c r="K38" s="62"/>
      <c r="L38" s="58"/>
      <c r="M38" s="44"/>
      <c r="N38" s="58"/>
      <c r="O38" s="58"/>
      <c r="P38" s="44"/>
      <c r="Q38" s="47"/>
      <c r="R38" s="48"/>
      <c r="S38" s="44"/>
      <c r="T38" s="49" t="s">
        <v>33</v>
      </c>
      <c r="U38" s="50">
        <f>SUM(U34:U37)</f>
        <v>0</v>
      </c>
      <c r="V38" s="44"/>
      <c r="W38" s="47"/>
      <c r="X38" s="48"/>
    </row>
    <row r="39" spans="1:24" ht="15.75" customHeight="1" thickBot="1" x14ac:dyDescent="0.25">
      <c r="A39" s="2"/>
      <c r="B39" s="16" t="s">
        <v>26</v>
      </c>
      <c r="C39" s="17" t="s">
        <v>0</v>
      </c>
      <c r="D39" s="17" t="s">
        <v>1</v>
      </c>
      <c r="E39" s="18" t="s">
        <v>2</v>
      </c>
      <c r="F39" s="33"/>
      <c r="K39" s="62"/>
      <c r="L39" s="58"/>
      <c r="M39" s="44"/>
      <c r="N39" s="58"/>
      <c r="O39" s="58"/>
      <c r="P39" s="44"/>
      <c r="Q39" s="47"/>
      <c r="R39" s="48"/>
      <c r="S39" s="44"/>
      <c r="T39" s="58"/>
      <c r="U39" s="58"/>
      <c r="V39" s="44"/>
      <c r="W39" s="47"/>
      <c r="X39" s="48"/>
    </row>
    <row r="40" spans="1:24" ht="15.75" customHeight="1" thickBot="1" x14ac:dyDescent="0.25">
      <c r="A40" s="2"/>
      <c r="B40" s="22" t="s">
        <v>92</v>
      </c>
      <c r="C40" s="19">
        <f>IF('Starting Page'!I24="Yes",'Starting Page'!I26/8,300)</f>
        <v>300</v>
      </c>
      <c r="D40" s="19">
        <f>O53</f>
        <v>0</v>
      </c>
      <c r="E40" s="20">
        <f>Table5194355677991103[Projected Cost]-Table5194355677991103[Actual Cost]</f>
        <v>300</v>
      </c>
      <c r="F40" s="33"/>
      <c r="K40" s="63"/>
      <c r="L40" s="59"/>
      <c r="M40" s="56"/>
      <c r="N40" s="59"/>
      <c r="O40" s="59"/>
      <c r="P40" s="56"/>
      <c r="Q40" s="49" t="s">
        <v>33</v>
      </c>
      <c r="R40" s="50">
        <f>SUM(R34:R39)</f>
        <v>0</v>
      </c>
      <c r="S40" s="56"/>
      <c r="T40" s="59"/>
      <c r="U40" s="59"/>
      <c r="V40" s="56"/>
      <c r="W40" s="49" t="s">
        <v>33</v>
      </c>
      <c r="X40" s="50">
        <f>SUM(X34:X39)</f>
        <v>0</v>
      </c>
    </row>
    <row r="41" spans="1:24" ht="15.75" customHeight="1" thickBot="1" x14ac:dyDescent="0.25">
      <c r="A41" s="2"/>
      <c r="B41" s="22" t="s">
        <v>15</v>
      </c>
      <c r="C41" s="19">
        <v>100</v>
      </c>
      <c r="D41" s="19">
        <f>R53</f>
        <v>0</v>
      </c>
      <c r="E41" s="20">
        <f>Table5194355677991103[Projected Cost]-Table5194355677991103[Actual Cost]</f>
        <v>100</v>
      </c>
      <c r="F41" s="33"/>
    </row>
    <row r="42" spans="1:24" ht="15.75" customHeight="1" thickBot="1" x14ac:dyDescent="0.25">
      <c r="A42" s="2"/>
      <c r="B42" s="22" t="s">
        <v>6</v>
      </c>
      <c r="C42" s="19">
        <v>0</v>
      </c>
      <c r="D42" s="19">
        <f>U49</f>
        <v>0</v>
      </c>
      <c r="E42" s="20">
        <f>Table5194355677991103[Projected Cost]-Table5194355677991103[Actual Cost]</f>
        <v>0</v>
      </c>
      <c r="F42" s="33"/>
      <c r="K42" s="144" t="s">
        <v>68</v>
      </c>
      <c r="L42" s="145"/>
      <c r="N42" s="139" t="s">
        <v>11</v>
      </c>
      <c r="O42" s="140"/>
      <c r="P42" s="140"/>
      <c r="Q42" s="140"/>
      <c r="R42" s="140"/>
      <c r="S42" s="140"/>
      <c r="T42" s="140"/>
      <c r="U42" s="141"/>
    </row>
    <row r="43" spans="1:24" ht="15.75" customHeight="1" thickBot="1" x14ac:dyDescent="0.25">
      <c r="A43" s="2"/>
      <c r="B43" s="16" t="s">
        <v>33</v>
      </c>
      <c r="C43" s="19">
        <f>SUBTOTAL(109,Table5194355677991103[Projected Cost])</f>
        <v>400</v>
      </c>
      <c r="D43" s="19">
        <f>SUBTOTAL(109,Table5194355677991103[Actual Cost])</f>
        <v>0</v>
      </c>
      <c r="E43" s="21">
        <f>SUBTOTAL(109,Table5194355677991103[Difference])</f>
        <v>400</v>
      </c>
      <c r="F43" s="33"/>
      <c r="K43" s="45" t="s">
        <v>38</v>
      </c>
      <c r="L43" s="46" t="s">
        <v>46</v>
      </c>
      <c r="N43" s="142" t="s">
        <v>10</v>
      </c>
      <c r="O43" s="143"/>
      <c r="P43" s="44"/>
      <c r="Q43" s="142" t="s">
        <v>40</v>
      </c>
      <c r="R43" s="143"/>
      <c r="S43" s="58"/>
      <c r="T43" s="142" t="s">
        <v>6</v>
      </c>
      <c r="U43" s="143"/>
    </row>
    <row r="44" spans="1:24" ht="15.75" customHeight="1" thickBot="1" x14ac:dyDescent="0.25">
      <c r="A44" s="2"/>
      <c r="B44" s="113"/>
      <c r="C44" s="113"/>
      <c r="D44" s="113"/>
      <c r="E44" s="113"/>
      <c r="F44" s="33"/>
      <c r="K44" s="47" t="s">
        <v>59</v>
      </c>
      <c r="L44" s="48"/>
      <c r="N44" s="45" t="s">
        <v>38</v>
      </c>
      <c r="O44" s="46" t="s">
        <v>46</v>
      </c>
      <c r="P44" s="44"/>
      <c r="Q44" s="45" t="s">
        <v>38</v>
      </c>
      <c r="R44" s="46" t="s">
        <v>46</v>
      </c>
      <c r="S44" s="58"/>
      <c r="T44" s="45" t="s">
        <v>38</v>
      </c>
      <c r="U44" s="46" t="s">
        <v>46</v>
      </c>
    </row>
    <row r="45" spans="1:24" ht="15.75" customHeight="1" thickBot="1" x14ac:dyDescent="0.25">
      <c r="A45" s="2"/>
      <c r="B45" s="16" t="s">
        <v>27</v>
      </c>
      <c r="C45" s="17" t="s">
        <v>0</v>
      </c>
      <c r="D45" s="17" t="s">
        <v>1</v>
      </c>
      <c r="E45" s="18" t="s">
        <v>2</v>
      </c>
      <c r="F45" s="33"/>
      <c r="K45" s="47"/>
      <c r="L45" s="48"/>
      <c r="N45" s="47" t="s">
        <v>69</v>
      </c>
      <c r="O45" s="48"/>
      <c r="P45" s="44"/>
      <c r="Q45" s="47" t="s">
        <v>70</v>
      </c>
      <c r="R45" s="48"/>
      <c r="S45" s="58"/>
      <c r="T45" s="47"/>
      <c r="U45" s="48"/>
    </row>
    <row r="46" spans="1:24" ht="17.25" customHeight="1" thickBot="1" x14ac:dyDescent="0.25">
      <c r="A46" s="2"/>
      <c r="B46" s="22" t="s">
        <v>12</v>
      </c>
      <c r="C46" s="19">
        <v>20</v>
      </c>
      <c r="D46" s="19">
        <f>L61</f>
        <v>0</v>
      </c>
      <c r="E46" s="20">
        <f>Table7244860728496108[Projected Cost]-Table7244860728496108[Actual Cost]</f>
        <v>20</v>
      </c>
      <c r="F46" s="33"/>
      <c r="K46" s="49" t="s">
        <v>33</v>
      </c>
      <c r="L46" s="50">
        <f>SUM(L44:L45)</f>
        <v>0</v>
      </c>
      <c r="N46" s="47"/>
      <c r="O46" s="48"/>
      <c r="P46" s="44"/>
      <c r="Q46" s="47"/>
      <c r="R46" s="48"/>
      <c r="S46" s="58"/>
      <c r="T46" s="47"/>
      <c r="U46" s="48"/>
    </row>
    <row r="47" spans="1:24" ht="15.75" customHeight="1" x14ac:dyDescent="0.2">
      <c r="A47" s="2"/>
      <c r="B47" s="22" t="s">
        <v>14</v>
      </c>
      <c r="C47" s="19">
        <v>50</v>
      </c>
      <c r="D47" s="19">
        <f>O60</f>
        <v>0</v>
      </c>
      <c r="E47" s="20">
        <f>Table7244860728496108[Projected Cost]-Table7244860728496108[Actual Cost]</f>
        <v>50</v>
      </c>
      <c r="F47" s="33"/>
      <c r="N47" s="47"/>
      <c r="O47" s="48"/>
      <c r="P47" s="44"/>
      <c r="Q47" s="47"/>
      <c r="R47" s="48"/>
      <c r="S47" s="58"/>
      <c r="T47" s="47"/>
      <c r="U47" s="48"/>
    </row>
    <row r="48" spans="1:24" ht="15.75" customHeight="1" thickBot="1" x14ac:dyDescent="0.25">
      <c r="A48" s="2"/>
      <c r="B48" s="22" t="s">
        <v>13</v>
      </c>
      <c r="C48" s="19">
        <v>50</v>
      </c>
      <c r="D48" s="19">
        <f>R64</f>
        <v>0</v>
      </c>
      <c r="E48" s="20">
        <f>Table7244860728496108[Projected Cost]-Table7244860728496108[Actual Cost]</f>
        <v>50</v>
      </c>
      <c r="F48" s="33"/>
      <c r="N48" s="47"/>
      <c r="O48" s="48"/>
      <c r="P48" s="44"/>
      <c r="Q48" s="47"/>
      <c r="R48" s="48"/>
      <c r="S48" s="58"/>
      <c r="T48" s="47"/>
      <c r="U48" s="48"/>
    </row>
    <row r="49" spans="1:24" ht="15.75" customHeight="1" thickBot="1" x14ac:dyDescent="0.25">
      <c r="A49" s="2"/>
      <c r="B49" s="22" t="s">
        <v>49</v>
      </c>
      <c r="C49" s="19">
        <v>40</v>
      </c>
      <c r="D49" s="19">
        <f>U60</f>
        <v>0</v>
      </c>
      <c r="E49" s="20">
        <f>Table7244860728496108[Projected Cost]-Table7244860728496108[Actual Cost]</f>
        <v>40</v>
      </c>
      <c r="F49" s="33"/>
      <c r="N49" s="47"/>
      <c r="O49" s="48"/>
      <c r="P49" s="44"/>
      <c r="Q49" s="47"/>
      <c r="R49" s="48"/>
      <c r="S49" s="58"/>
      <c r="T49" s="49" t="s">
        <v>33</v>
      </c>
      <c r="U49" s="50">
        <f>SUM(U45:U48)</f>
        <v>0</v>
      </c>
    </row>
    <row r="50" spans="1:24" ht="15.75" customHeight="1" x14ac:dyDescent="0.2">
      <c r="A50" s="2"/>
      <c r="B50" s="22" t="s">
        <v>6</v>
      </c>
      <c r="C50" s="19">
        <v>20</v>
      </c>
      <c r="D50" s="19">
        <f>X64</f>
        <v>0</v>
      </c>
      <c r="E50" s="20">
        <f>Table7244860728496108[Projected Cost]-Table7244860728496108[Actual Cost]</f>
        <v>20</v>
      </c>
      <c r="F50" s="33"/>
      <c r="N50" s="47"/>
      <c r="O50" s="48"/>
      <c r="P50" s="44"/>
      <c r="Q50" s="47"/>
      <c r="R50" s="48"/>
      <c r="S50" s="58"/>
      <c r="T50" s="58"/>
      <c r="U50" s="64"/>
    </row>
    <row r="51" spans="1:24" ht="15.75" customHeight="1" x14ac:dyDescent="0.2">
      <c r="A51" s="2"/>
      <c r="B51" s="16" t="s">
        <v>33</v>
      </c>
      <c r="C51" s="19">
        <f>SUBTOTAL(109,Table7244860728496108[Projected Cost])</f>
        <v>180</v>
      </c>
      <c r="D51" s="19">
        <f>SUBTOTAL(109,Table7244860728496108[Actual Cost])</f>
        <v>0</v>
      </c>
      <c r="E51" s="21">
        <f>SUBTOTAL(109,Table7244860728496108[Difference])</f>
        <v>180</v>
      </c>
      <c r="F51" s="33"/>
      <c r="N51" s="47"/>
      <c r="O51" s="48"/>
      <c r="P51" s="44"/>
      <c r="Q51" s="47"/>
      <c r="R51" s="48"/>
      <c r="S51" s="58"/>
      <c r="T51" s="58"/>
      <c r="U51" s="64"/>
    </row>
    <row r="52" spans="1:24" ht="15.75" customHeight="1" thickBot="1" x14ac:dyDescent="0.25">
      <c r="A52" s="2"/>
      <c r="F52" s="33"/>
      <c r="N52" s="47"/>
      <c r="O52" s="48"/>
      <c r="P52" s="44"/>
      <c r="Q52" s="47"/>
      <c r="R52" s="48"/>
      <c r="S52" s="58"/>
      <c r="T52" s="58"/>
      <c r="U52" s="64"/>
    </row>
    <row r="53" spans="1:24" ht="15.75" customHeight="1" thickBot="1" x14ac:dyDescent="0.25">
      <c r="A53" s="2"/>
      <c r="B53" s="16" t="s">
        <v>23</v>
      </c>
      <c r="C53" s="17" t="s">
        <v>0</v>
      </c>
      <c r="D53" s="17" t="s">
        <v>1</v>
      </c>
      <c r="E53" s="18" t="s">
        <v>2</v>
      </c>
      <c r="F53" s="33"/>
      <c r="N53" s="49" t="s">
        <v>33</v>
      </c>
      <c r="O53" s="50">
        <f>SUM(O45:O52)</f>
        <v>0</v>
      </c>
      <c r="P53" s="56"/>
      <c r="Q53" s="49" t="s">
        <v>33</v>
      </c>
      <c r="R53" s="50">
        <f>SUM(R45:R52)</f>
        <v>0</v>
      </c>
      <c r="S53" s="59"/>
      <c r="T53" s="59"/>
      <c r="U53" s="65"/>
    </row>
    <row r="54" spans="1:24" ht="15.75" customHeight="1" thickBot="1" x14ac:dyDescent="0.25">
      <c r="A54" s="2"/>
      <c r="B54" s="22" t="s">
        <v>81</v>
      </c>
      <c r="C54" s="19">
        <v>50</v>
      </c>
      <c r="D54" s="19">
        <f>L72</f>
        <v>0</v>
      </c>
      <c r="E54" s="20">
        <f>Table2254961738597109[Projected Cost]-Table2254961738597109[Actual Cost]</f>
        <v>50</v>
      </c>
      <c r="F54" s="33"/>
    </row>
    <row r="55" spans="1:24" ht="15.75" customHeight="1" thickBot="1" x14ac:dyDescent="0.25">
      <c r="A55" s="2"/>
      <c r="B55" s="22" t="s">
        <v>16</v>
      </c>
      <c r="C55" s="19">
        <v>15</v>
      </c>
      <c r="D55" s="19">
        <f>O71</f>
        <v>0</v>
      </c>
      <c r="E55" s="20">
        <f>Table2254961738597109[Projected Cost]-Table2254961738597109[Actual Cost]</f>
        <v>15</v>
      </c>
      <c r="F55" s="13"/>
      <c r="K55" s="139" t="s">
        <v>75</v>
      </c>
      <c r="L55" s="140"/>
      <c r="M55" s="140"/>
      <c r="N55" s="140"/>
      <c r="O55" s="140"/>
      <c r="P55" s="140"/>
      <c r="Q55" s="140"/>
      <c r="R55" s="140"/>
      <c r="S55" s="140"/>
      <c r="T55" s="140"/>
      <c r="U55" s="140"/>
      <c r="V55" s="140"/>
      <c r="W55" s="140"/>
      <c r="X55" s="141"/>
    </row>
    <row r="56" spans="1:24" ht="15.75" customHeight="1" thickBot="1" x14ac:dyDescent="0.25">
      <c r="A56" s="2"/>
      <c r="B56" s="22" t="s">
        <v>17</v>
      </c>
      <c r="C56" s="19">
        <v>20</v>
      </c>
      <c r="D56" s="19">
        <f>R71</f>
        <v>0</v>
      </c>
      <c r="E56" s="20">
        <f>Table2254961738597109[Projected Cost]-Table2254961738597109[Actual Cost]</f>
        <v>20</v>
      </c>
      <c r="F56" s="13"/>
      <c r="K56" s="142" t="s">
        <v>12</v>
      </c>
      <c r="L56" s="143"/>
      <c r="M56" s="44"/>
      <c r="N56" s="142" t="s">
        <v>71</v>
      </c>
      <c r="O56" s="143"/>
      <c r="P56" s="44"/>
      <c r="Q56" s="142" t="s">
        <v>13</v>
      </c>
      <c r="R56" s="143"/>
      <c r="S56" s="44"/>
      <c r="T56" s="142" t="s">
        <v>49</v>
      </c>
      <c r="U56" s="143"/>
      <c r="V56" s="44"/>
      <c r="W56" s="142" t="s">
        <v>6</v>
      </c>
      <c r="X56" s="143"/>
    </row>
    <row r="57" spans="1:24" ht="15.75" customHeight="1" thickBot="1" x14ac:dyDescent="0.25">
      <c r="A57" s="2"/>
      <c r="B57" s="22" t="s">
        <v>21</v>
      </c>
      <c r="C57" s="19">
        <v>0</v>
      </c>
      <c r="D57" s="19">
        <f>U71</f>
        <v>0</v>
      </c>
      <c r="E57" s="20">
        <f>Table2254961738597109[Projected Cost]-Table2254961738597109[Actual Cost]</f>
        <v>0</v>
      </c>
      <c r="F57" s="13"/>
      <c r="K57" s="45" t="s">
        <v>38</v>
      </c>
      <c r="L57" s="46" t="s">
        <v>46</v>
      </c>
      <c r="M57" s="44"/>
      <c r="N57" s="45" t="s">
        <v>38</v>
      </c>
      <c r="O57" s="46" t="s">
        <v>46</v>
      </c>
      <c r="P57" s="44"/>
      <c r="Q57" s="45" t="s">
        <v>38</v>
      </c>
      <c r="R57" s="46" t="s">
        <v>46</v>
      </c>
      <c r="S57" s="44"/>
      <c r="T57" s="45" t="s">
        <v>38</v>
      </c>
      <c r="U57" s="46" t="s">
        <v>46</v>
      </c>
      <c r="V57" s="44"/>
      <c r="W57" s="45" t="s">
        <v>38</v>
      </c>
      <c r="X57" s="46" t="s">
        <v>46</v>
      </c>
    </row>
    <row r="58" spans="1:24" ht="15.75" customHeight="1" x14ac:dyDescent="0.2">
      <c r="A58" s="2"/>
      <c r="B58" s="22" t="s">
        <v>6</v>
      </c>
      <c r="C58" s="19">
        <v>100</v>
      </c>
      <c r="D58" s="19">
        <f>X75</f>
        <v>0</v>
      </c>
      <c r="E58" s="20">
        <f>Table2254961738597109[Projected Cost]-Table2254961738597109[Actual Cost]</f>
        <v>100</v>
      </c>
      <c r="F58" s="13"/>
      <c r="K58" s="47" t="s">
        <v>82</v>
      </c>
      <c r="L58" s="48"/>
      <c r="M58" s="44"/>
      <c r="N58" s="47" t="s">
        <v>73</v>
      </c>
      <c r="O58" s="48"/>
      <c r="P58" s="44"/>
      <c r="Q58" s="47" t="s">
        <v>74</v>
      </c>
      <c r="R58" s="48"/>
      <c r="S58" s="44"/>
      <c r="T58" s="47" t="s">
        <v>49</v>
      </c>
      <c r="U58" s="48"/>
      <c r="V58" s="44"/>
      <c r="W58" s="47"/>
      <c r="X58" s="48"/>
    </row>
    <row r="59" spans="1:24" ht="15.75" customHeight="1" thickBot="1" x14ac:dyDescent="0.25">
      <c r="A59" s="2"/>
      <c r="B59" s="37" t="s">
        <v>33</v>
      </c>
      <c r="C59" s="38">
        <f>SUBTOTAL(109,Table2254961738597109[Projected Cost])</f>
        <v>185</v>
      </c>
      <c r="D59" s="39">
        <f>SUBTOTAL(109,Table2254961738597109[Actual Cost])</f>
        <v>0</v>
      </c>
      <c r="E59" s="40">
        <f>SUBTOTAL(109,Table2254961738597109[Difference])</f>
        <v>185</v>
      </c>
      <c r="F59" s="13"/>
      <c r="K59" s="47"/>
      <c r="L59" s="48"/>
      <c r="M59" s="44"/>
      <c r="N59" s="47"/>
      <c r="O59" s="48"/>
      <c r="P59" s="44"/>
      <c r="Q59" s="47"/>
      <c r="R59" s="48"/>
      <c r="S59" s="44"/>
      <c r="T59" s="47"/>
      <c r="U59" s="48"/>
      <c r="V59" s="44"/>
      <c r="W59" s="47"/>
      <c r="X59" s="48"/>
    </row>
    <row r="60" spans="1:24" ht="15.75" customHeight="1" thickBot="1" x14ac:dyDescent="0.25">
      <c r="A60" s="2"/>
      <c r="F60" s="13"/>
      <c r="K60" s="47"/>
      <c r="L60" s="48"/>
      <c r="M60" s="44"/>
      <c r="N60" s="49" t="s">
        <v>33</v>
      </c>
      <c r="O60" s="50">
        <f>SUM(O58:O59)</f>
        <v>0</v>
      </c>
      <c r="P60" s="44"/>
      <c r="Q60" s="47"/>
      <c r="R60" s="48"/>
      <c r="S60" s="44"/>
      <c r="T60" s="49" t="s">
        <v>33</v>
      </c>
      <c r="U60" s="50">
        <f>SUM(U58:U59)</f>
        <v>0</v>
      </c>
      <c r="V60" s="44"/>
      <c r="W60" s="47"/>
      <c r="X60" s="48"/>
    </row>
    <row r="61" spans="1:24" ht="15.75" customHeight="1" thickBot="1" x14ac:dyDescent="0.25">
      <c r="A61" s="2"/>
      <c r="F61" s="13"/>
      <c r="K61" s="49" t="s">
        <v>33</v>
      </c>
      <c r="L61" s="50">
        <f>SUM(L58:L60)</f>
        <v>0</v>
      </c>
      <c r="M61" s="44"/>
      <c r="N61" s="58"/>
      <c r="O61" s="58"/>
      <c r="P61" s="44"/>
      <c r="Q61" s="47"/>
      <c r="R61" s="48"/>
      <c r="S61" s="44"/>
      <c r="T61" s="58"/>
      <c r="U61" s="58"/>
      <c r="V61" s="44"/>
      <c r="W61" s="47"/>
      <c r="X61" s="48"/>
    </row>
    <row r="62" spans="1:24" ht="15.75" customHeight="1" x14ac:dyDescent="0.2">
      <c r="B62" s="102" t="s">
        <v>30</v>
      </c>
      <c r="C62" s="102"/>
      <c r="D62" s="102"/>
      <c r="E62" s="117">
        <f>SUM(C17,C25,C33,C37,C43,C51,C59)</f>
        <v>4490</v>
      </c>
      <c r="K62" s="62"/>
      <c r="L62" s="58"/>
      <c r="M62" s="44"/>
      <c r="N62" s="58"/>
      <c r="O62" s="58"/>
      <c r="P62" s="44"/>
      <c r="Q62" s="47"/>
      <c r="R62" s="48"/>
      <c r="S62" s="44"/>
      <c r="T62" s="58"/>
      <c r="U62" s="58"/>
      <c r="V62" s="44"/>
      <c r="W62" s="47"/>
      <c r="X62" s="48"/>
    </row>
    <row r="63" spans="1:24" ht="13.5" thickBot="1" x14ac:dyDescent="0.25">
      <c r="B63" s="102"/>
      <c r="C63" s="102"/>
      <c r="D63" s="102"/>
      <c r="E63" s="117"/>
      <c r="J63" s="58"/>
      <c r="K63" s="62"/>
      <c r="L63" s="58"/>
      <c r="M63" s="44"/>
      <c r="N63" s="58"/>
      <c r="O63" s="58"/>
      <c r="P63" s="44"/>
      <c r="Q63" s="47"/>
      <c r="R63" s="48"/>
      <c r="S63" s="44"/>
      <c r="T63" s="58"/>
      <c r="U63" s="58"/>
      <c r="V63" s="44"/>
      <c r="W63" s="47"/>
      <c r="X63" s="48"/>
    </row>
    <row r="64" spans="1:24" ht="13.5" thickBot="1" x14ac:dyDescent="0.25">
      <c r="B64" s="102" t="s">
        <v>31</v>
      </c>
      <c r="C64" s="102"/>
      <c r="D64" s="102"/>
      <c r="E64" s="117">
        <f>SUM(D17,D25,D33,D37,D43,D51,D59)</f>
        <v>0</v>
      </c>
      <c r="J64" s="58"/>
      <c r="K64" s="63"/>
      <c r="L64" s="59"/>
      <c r="M64" s="56"/>
      <c r="N64" s="59"/>
      <c r="O64" s="59"/>
      <c r="P64" s="56"/>
      <c r="Q64" s="49" t="s">
        <v>33</v>
      </c>
      <c r="R64" s="50">
        <f>SUM(R58:R63)</f>
        <v>0</v>
      </c>
      <c r="S64" s="56"/>
      <c r="T64" s="59"/>
      <c r="U64" s="59"/>
      <c r="V64" s="56"/>
      <c r="W64" s="49" t="s">
        <v>33</v>
      </c>
      <c r="X64" s="50">
        <f>SUM(X58:X63)</f>
        <v>0</v>
      </c>
    </row>
    <row r="65" spans="2:24" ht="13.5" thickBot="1" x14ac:dyDescent="0.25">
      <c r="B65" s="102"/>
      <c r="C65" s="102"/>
      <c r="D65" s="102"/>
      <c r="E65" s="117"/>
      <c r="J65" s="58"/>
      <c r="K65" s="58"/>
      <c r="L65" s="58"/>
      <c r="M65" s="58"/>
      <c r="N65" s="58"/>
      <c r="O65" s="58"/>
      <c r="P65" s="58"/>
      <c r="S65" s="58"/>
      <c r="T65" s="58"/>
      <c r="U65" s="58"/>
      <c r="V65" s="58"/>
    </row>
    <row r="66" spans="2:24" ht="13.5" thickBot="1" x14ac:dyDescent="0.25">
      <c r="B66" s="102" t="s">
        <v>32</v>
      </c>
      <c r="C66" s="102"/>
      <c r="D66" s="102"/>
      <c r="E66" s="117">
        <f>SUM(E17,E25,E33,E37,E43,E51,E59)</f>
        <v>4490</v>
      </c>
      <c r="J66" s="58"/>
      <c r="K66" s="139" t="s">
        <v>76</v>
      </c>
      <c r="L66" s="140"/>
      <c r="M66" s="140"/>
      <c r="N66" s="140"/>
      <c r="O66" s="140"/>
      <c r="P66" s="140"/>
      <c r="Q66" s="140"/>
      <c r="R66" s="140"/>
      <c r="S66" s="140"/>
      <c r="T66" s="140"/>
      <c r="U66" s="140"/>
      <c r="V66" s="140"/>
      <c r="W66" s="140"/>
      <c r="X66" s="141"/>
    </row>
    <row r="67" spans="2:24" ht="13.5" thickBot="1" x14ac:dyDescent="0.25">
      <c r="B67" s="102"/>
      <c r="C67" s="102"/>
      <c r="D67" s="102"/>
      <c r="E67" s="117"/>
      <c r="J67" s="58"/>
      <c r="K67" s="142" t="s">
        <v>41</v>
      </c>
      <c r="L67" s="143"/>
      <c r="M67" s="44"/>
      <c r="N67" s="142" t="s">
        <v>16</v>
      </c>
      <c r="O67" s="143"/>
      <c r="P67" s="44"/>
      <c r="Q67" s="142" t="s">
        <v>17</v>
      </c>
      <c r="R67" s="143"/>
      <c r="S67" s="44"/>
      <c r="T67" s="142" t="s">
        <v>77</v>
      </c>
      <c r="U67" s="143"/>
      <c r="V67" s="44"/>
      <c r="W67" s="142" t="s">
        <v>6</v>
      </c>
      <c r="X67" s="143"/>
    </row>
    <row r="68" spans="2:24" ht="13.5" thickBot="1" x14ac:dyDescent="0.25">
      <c r="J68" s="58"/>
      <c r="K68" s="45" t="s">
        <v>38</v>
      </c>
      <c r="L68" s="46" t="s">
        <v>46</v>
      </c>
      <c r="M68" s="44"/>
      <c r="N68" s="45" t="s">
        <v>38</v>
      </c>
      <c r="O68" s="46" t="s">
        <v>46</v>
      </c>
      <c r="P68" s="44"/>
      <c r="Q68" s="45" t="s">
        <v>38</v>
      </c>
      <c r="R68" s="46" t="s">
        <v>46</v>
      </c>
      <c r="S68" s="44"/>
      <c r="T68" s="45" t="s">
        <v>38</v>
      </c>
      <c r="U68" s="46" t="s">
        <v>46</v>
      </c>
      <c r="V68" s="44"/>
      <c r="W68" s="45" t="s">
        <v>38</v>
      </c>
      <c r="X68" s="46" t="s">
        <v>46</v>
      </c>
    </row>
    <row r="69" spans="2:24" x14ac:dyDescent="0.2">
      <c r="J69" s="58"/>
      <c r="K69" s="47" t="s">
        <v>72</v>
      </c>
      <c r="L69" s="48"/>
      <c r="M69" s="44"/>
      <c r="N69" s="47" t="s">
        <v>43</v>
      </c>
      <c r="O69" s="48"/>
      <c r="P69" s="44"/>
      <c r="Q69" s="47" t="s">
        <v>78</v>
      </c>
      <c r="R69" s="48"/>
      <c r="S69" s="44"/>
      <c r="T69" s="47" t="s">
        <v>79</v>
      </c>
      <c r="U69" s="48"/>
      <c r="V69" s="44"/>
      <c r="W69" s="47"/>
      <c r="X69" s="48"/>
    </row>
    <row r="70" spans="2:24" ht="13.5" thickBot="1" x14ac:dyDescent="0.25">
      <c r="K70" s="47"/>
      <c r="L70" s="48"/>
      <c r="M70" s="44"/>
      <c r="N70" s="47"/>
      <c r="O70" s="48"/>
      <c r="P70" s="44"/>
      <c r="Q70" s="47"/>
      <c r="R70" s="48"/>
      <c r="S70" s="44"/>
      <c r="T70" s="47"/>
      <c r="U70" s="48"/>
      <c r="V70" s="44"/>
      <c r="W70" s="47"/>
      <c r="X70" s="48"/>
    </row>
    <row r="71" spans="2:24" ht="13.5" thickBot="1" x14ac:dyDescent="0.25">
      <c r="K71" s="47"/>
      <c r="L71" s="48"/>
      <c r="M71" s="44"/>
      <c r="N71" s="49" t="s">
        <v>33</v>
      </c>
      <c r="O71" s="50">
        <f>SUM(O69:O70)</f>
        <v>0</v>
      </c>
      <c r="P71" s="44"/>
      <c r="Q71" s="49" t="s">
        <v>33</v>
      </c>
      <c r="R71" s="50">
        <f>SUM(R69:R70)</f>
        <v>0</v>
      </c>
      <c r="S71" s="44"/>
      <c r="T71" s="49" t="s">
        <v>33</v>
      </c>
      <c r="U71" s="50">
        <f>SUM(U69:U70)</f>
        <v>0</v>
      </c>
      <c r="V71" s="44"/>
      <c r="W71" s="47"/>
      <c r="X71" s="48"/>
    </row>
    <row r="72" spans="2:24" ht="13.5" thickBot="1" x14ac:dyDescent="0.25">
      <c r="K72" s="49" t="s">
        <v>33</v>
      </c>
      <c r="L72" s="50">
        <f>SUM(L69:L71)</f>
        <v>0</v>
      </c>
      <c r="M72" s="44"/>
      <c r="N72" s="58"/>
      <c r="O72" s="58"/>
      <c r="P72" s="44"/>
      <c r="Q72" s="58"/>
      <c r="R72" s="58"/>
      <c r="S72" s="44"/>
      <c r="T72" s="58"/>
      <c r="U72" s="58"/>
      <c r="V72" s="44"/>
      <c r="W72" s="47"/>
      <c r="X72" s="48"/>
    </row>
    <row r="73" spans="2:24" x14ac:dyDescent="0.2">
      <c r="K73" s="62"/>
      <c r="L73" s="58"/>
      <c r="M73" s="44"/>
      <c r="N73" s="58"/>
      <c r="O73" s="58"/>
      <c r="P73" s="44"/>
      <c r="Q73" s="58"/>
      <c r="R73" s="58"/>
      <c r="S73" s="44"/>
      <c r="T73" s="58"/>
      <c r="U73" s="58"/>
      <c r="V73" s="44"/>
      <c r="W73" s="47"/>
      <c r="X73" s="48"/>
    </row>
    <row r="74" spans="2:24" ht="13.5" thickBot="1" x14ac:dyDescent="0.25">
      <c r="K74" s="62"/>
      <c r="L74" s="58"/>
      <c r="M74" s="44"/>
      <c r="N74" s="58"/>
      <c r="O74" s="58"/>
      <c r="P74" s="44"/>
      <c r="Q74" s="58"/>
      <c r="R74" s="58"/>
      <c r="S74" s="44"/>
      <c r="T74" s="58"/>
      <c r="U74" s="58"/>
      <c r="V74" s="44"/>
      <c r="W74" s="47"/>
      <c r="X74" s="48"/>
    </row>
    <row r="75" spans="2:24" ht="13.5" thickBot="1" x14ac:dyDescent="0.25">
      <c r="K75" s="63"/>
      <c r="L75" s="59"/>
      <c r="M75" s="56"/>
      <c r="N75" s="59"/>
      <c r="O75" s="59"/>
      <c r="P75" s="56"/>
      <c r="Q75" s="59"/>
      <c r="R75" s="59"/>
      <c r="S75" s="56"/>
      <c r="T75" s="59"/>
      <c r="U75" s="59"/>
      <c r="V75" s="56"/>
      <c r="W75" s="49" t="s">
        <v>33</v>
      </c>
      <c r="X75" s="50">
        <f>SUM(X69:X74)</f>
        <v>0</v>
      </c>
    </row>
  </sheetData>
  <mergeCells count="64">
    <mergeCell ref="K11:X11"/>
    <mergeCell ref="H11:I11"/>
    <mergeCell ref="W12:X12"/>
    <mergeCell ref="T12:U12"/>
    <mergeCell ref="Q12:R12"/>
    <mergeCell ref="N12:O12"/>
    <mergeCell ref="K12:L12"/>
    <mergeCell ref="K66:X66"/>
    <mergeCell ref="K67:L67"/>
    <mergeCell ref="N67:O67"/>
    <mergeCell ref="Q67:R67"/>
    <mergeCell ref="T67:U67"/>
    <mergeCell ref="W67:X67"/>
    <mergeCell ref="T43:U43"/>
    <mergeCell ref="N42:U42"/>
    <mergeCell ref="K55:X55"/>
    <mergeCell ref="K56:L56"/>
    <mergeCell ref="N56:O56"/>
    <mergeCell ref="Q56:R56"/>
    <mergeCell ref="T56:U56"/>
    <mergeCell ref="W56:X56"/>
    <mergeCell ref="K42:L42"/>
    <mergeCell ref="N43:O43"/>
    <mergeCell ref="Q43:R43"/>
    <mergeCell ref="K24:X24"/>
    <mergeCell ref="K25:L25"/>
    <mergeCell ref="N25:O25"/>
    <mergeCell ref="Q25:R25"/>
    <mergeCell ref="T25:U25"/>
    <mergeCell ref="W25:X25"/>
    <mergeCell ref="K32:L32"/>
    <mergeCell ref="N32:O32"/>
    <mergeCell ref="Q32:R32"/>
    <mergeCell ref="T32:U32"/>
    <mergeCell ref="W32:X32"/>
    <mergeCell ref="Q5:R5"/>
    <mergeCell ref="T5:U5"/>
    <mergeCell ref="W5:X5"/>
    <mergeCell ref="L8:L9"/>
    <mergeCell ref="B66:D67"/>
    <mergeCell ref="E66:E67"/>
    <mergeCell ref="B44:E44"/>
    <mergeCell ref="B62:D63"/>
    <mergeCell ref="E62:E63"/>
    <mergeCell ref="B26:E26"/>
    <mergeCell ref="C9:D9"/>
    <mergeCell ref="B64:D65"/>
    <mergeCell ref="E64:E65"/>
    <mergeCell ref="B38:E38"/>
    <mergeCell ref="B34:E34"/>
    <mergeCell ref="K31:X31"/>
    <mergeCell ref="B3:D3"/>
    <mergeCell ref="B4:B6"/>
    <mergeCell ref="C4:D4"/>
    <mergeCell ref="G4:K5"/>
    <mergeCell ref="L4:L5"/>
    <mergeCell ref="C5:D5"/>
    <mergeCell ref="C6:D6"/>
    <mergeCell ref="G6:K7"/>
    <mergeCell ref="L6:L7"/>
    <mergeCell ref="B7:B9"/>
    <mergeCell ref="C7:D7"/>
    <mergeCell ref="C8:D8"/>
    <mergeCell ref="G8:K9"/>
  </mergeCells>
  <conditionalFormatting sqref="E54:E59 E28:E33 E20:E25 E36:E37 E40:E43 E46:E51">
    <cfRule type="iconSet" priority="4">
      <iconSet iconSet="3Signs">
        <cfvo type="percent" val="0"/>
        <cfvo type="num" val="-20"/>
        <cfvo type="num" val="0"/>
      </iconSet>
    </cfRule>
  </conditionalFormatting>
  <conditionalFormatting sqref="E12:E18">
    <cfRule type="iconSet" priority="1">
      <iconSet iconSet="3Signs">
        <cfvo type="percent" val="0"/>
        <cfvo type="num" val="-20"/>
        <cfvo type="num" val="0"/>
      </iconSet>
    </cfRule>
  </conditionalFormatting>
  <pageMargins left="0.5" right="0.5" top="0.5" bottom="0.5" header="0.5" footer="0.5"/>
  <pageSetup orientation="portrait" r:id="rId1"/>
  <headerFooter alignWithMargins="0"/>
  <ignoredErrors>
    <ignoredError sqref="D28:D32 D46:D50" calculatedColumn="1"/>
  </ignoredErrors>
  <drawing r:id="rId2"/>
  <tableParts count="7">
    <tablePart r:id="rId3"/>
    <tablePart r:id="rId4"/>
    <tablePart r:id="rId5"/>
    <tablePart r:id="rId6"/>
    <tablePart r:id="rId7"/>
    <tablePart r:id="rId8"/>
    <tablePart r:id="rId9"/>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F75"/>
  <sheetViews>
    <sheetView showGridLines="0" workbookViewId="0">
      <pane ySplit="2" topLeftCell="A3" activePane="bottomLeft" state="frozen"/>
      <selection pane="bottomLeft" activeCell="G29" sqref="G29"/>
    </sheetView>
  </sheetViews>
  <sheetFormatPr defaultColWidth="8.7109375" defaultRowHeight="12.75" x14ac:dyDescent="0.2"/>
  <cols>
    <col min="1" max="1" width="1.5703125" customWidth="1"/>
    <col min="2" max="2" width="32.28515625" customWidth="1"/>
    <col min="3" max="3" width="16.42578125" customWidth="1"/>
    <col min="4" max="4" width="13.42578125" customWidth="1"/>
    <col min="5" max="5" width="12.42578125" customWidth="1"/>
    <col min="6" max="6" width="2" customWidth="1"/>
    <col min="7" max="7" width="5.7109375" customWidth="1"/>
    <col min="8" max="8" width="11.42578125" bestFit="1" customWidth="1"/>
    <col min="9" max="9" width="7.42578125" bestFit="1" customWidth="1"/>
    <col min="10" max="10" width="6.5703125" customWidth="1"/>
    <col min="11" max="11" width="13.42578125" customWidth="1"/>
    <col min="12" max="12" width="12.42578125" customWidth="1"/>
    <col min="13" max="13" width="3.28515625" customWidth="1"/>
    <col min="14" max="14" width="11.5703125" bestFit="1" customWidth="1"/>
    <col min="15" max="15" width="7.42578125" bestFit="1" customWidth="1"/>
    <col min="16" max="16" width="2.7109375" customWidth="1"/>
    <col min="17" max="17" width="9.5703125" bestFit="1" customWidth="1"/>
    <col min="18" max="18" width="7.42578125" bestFit="1" customWidth="1"/>
    <col min="19" max="19" width="4.28515625" customWidth="1"/>
    <col min="20" max="20" width="11.42578125" bestFit="1" customWidth="1"/>
    <col min="21" max="21" width="7.42578125" bestFit="1" customWidth="1"/>
    <col min="22" max="22" width="3.7109375" customWidth="1"/>
    <col min="23" max="23" width="14.5703125" bestFit="1" customWidth="1"/>
    <col min="24" max="24" width="7.42578125" bestFit="1" customWidth="1"/>
  </cols>
  <sheetData>
    <row r="1" spans="1:32" ht="8.25" customHeight="1" x14ac:dyDescent="0.6">
      <c r="A1" s="3"/>
      <c r="B1" s="1"/>
      <c r="C1" s="1"/>
      <c r="D1" s="1"/>
      <c r="E1" s="1"/>
      <c r="F1" s="1"/>
      <c r="G1" s="1"/>
      <c r="H1" s="1"/>
      <c r="I1" s="1"/>
      <c r="J1" s="1"/>
      <c r="K1" s="1"/>
      <c r="L1" s="2"/>
    </row>
    <row r="2" spans="1:32" ht="52.15" customHeight="1" x14ac:dyDescent="0.2">
      <c r="A2" s="3"/>
      <c r="B2" s="35"/>
      <c r="C2" s="69" t="str">
        <f>("-  October Monthly Budget")</f>
        <v>-  October Monthly Budget</v>
      </c>
      <c r="E2" s="35"/>
      <c r="F2" s="35"/>
      <c r="G2" s="35"/>
      <c r="H2" s="35"/>
      <c r="I2" s="35"/>
      <c r="J2" s="35"/>
      <c r="K2" s="35"/>
      <c r="L2" s="35"/>
    </row>
    <row r="3" spans="1:32" ht="8.25" customHeight="1" x14ac:dyDescent="0.2">
      <c r="A3" s="2"/>
      <c r="B3" s="98"/>
      <c r="C3" s="98"/>
      <c r="D3" s="98"/>
      <c r="E3" s="4"/>
      <c r="F3" s="5"/>
      <c r="G3" s="4"/>
      <c r="H3" s="6"/>
      <c r="I3" s="6"/>
      <c r="J3" s="6"/>
      <c r="K3" s="7"/>
      <c r="L3" s="8"/>
    </row>
    <row r="4" spans="1:32" ht="16.149999999999999" customHeight="1" x14ac:dyDescent="0.2">
      <c r="A4" s="2"/>
      <c r="B4" s="114" t="s">
        <v>29</v>
      </c>
      <c r="C4" s="105" t="s">
        <v>3</v>
      </c>
      <c r="D4" s="106"/>
      <c r="E4" s="15">
        <f>'Starting Page'!I31</f>
        <v>300</v>
      </c>
      <c r="F4" s="5"/>
      <c r="G4" s="102" t="s">
        <v>34</v>
      </c>
      <c r="H4" s="102"/>
      <c r="I4" s="102"/>
      <c r="J4" s="102"/>
      <c r="K4" s="102"/>
      <c r="L4" s="117">
        <f>E6-E62</f>
        <v>-790</v>
      </c>
      <c r="Y4" s="23"/>
      <c r="Z4" s="23"/>
      <c r="AA4" s="23"/>
      <c r="AB4" s="23"/>
      <c r="AC4" s="23"/>
      <c r="AD4" s="23"/>
      <c r="AE4" s="23"/>
      <c r="AF4" s="23"/>
    </row>
    <row r="5" spans="1:32" ht="16.149999999999999" customHeight="1" x14ac:dyDescent="0.2">
      <c r="A5" s="2"/>
      <c r="B5" s="115"/>
      <c r="C5" s="105" t="s">
        <v>18</v>
      </c>
      <c r="D5" s="106"/>
      <c r="E5" s="15"/>
      <c r="F5" s="5"/>
      <c r="G5" s="102"/>
      <c r="H5" s="102"/>
      <c r="I5" s="102"/>
      <c r="J5" s="102"/>
      <c r="K5" s="102"/>
      <c r="L5" s="117"/>
      <c r="Q5" s="99"/>
      <c r="R5" s="99"/>
      <c r="S5" s="44"/>
      <c r="T5" s="99"/>
      <c r="U5" s="99"/>
      <c r="V5" s="44"/>
      <c r="W5" s="99"/>
      <c r="X5" s="99"/>
      <c r="Y5" s="44"/>
      <c r="Z5" s="23"/>
      <c r="AA5" s="23"/>
      <c r="AB5" s="23"/>
      <c r="AC5" s="23"/>
      <c r="AD5" s="23"/>
      <c r="AE5" s="23"/>
      <c r="AF5" s="23"/>
    </row>
    <row r="6" spans="1:32" ht="16.149999999999999" customHeight="1" x14ac:dyDescent="0.2">
      <c r="A6" s="2"/>
      <c r="B6" s="116"/>
      <c r="C6" s="100" t="s">
        <v>19</v>
      </c>
      <c r="D6" s="101"/>
      <c r="E6" s="66">
        <f>SUM(E4:E5)</f>
        <v>300</v>
      </c>
      <c r="F6" s="5"/>
      <c r="G6" s="102" t="s">
        <v>35</v>
      </c>
      <c r="H6" s="102"/>
      <c r="I6" s="102"/>
      <c r="J6" s="102"/>
      <c r="K6" s="102"/>
      <c r="L6" s="117">
        <f>E9-E64</f>
        <v>0</v>
      </c>
      <c r="Q6" s="44"/>
      <c r="R6" s="44"/>
      <c r="S6" s="44"/>
      <c r="T6" s="44"/>
      <c r="U6" s="44"/>
      <c r="V6" s="44"/>
      <c r="W6" s="44"/>
      <c r="X6" s="44"/>
      <c r="Y6" s="44"/>
      <c r="Z6" s="23"/>
      <c r="AA6" s="23"/>
      <c r="AB6" s="23"/>
      <c r="AC6" s="23"/>
      <c r="AD6" s="23"/>
      <c r="AE6" s="23"/>
      <c r="AF6" s="23"/>
    </row>
    <row r="7" spans="1:32" ht="16.149999999999999" customHeight="1" x14ac:dyDescent="0.2">
      <c r="A7" s="2"/>
      <c r="B7" s="114" t="s">
        <v>28</v>
      </c>
      <c r="C7" s="105" t="s">
        <v>3</v>
      </c>
      <c r="D7" s="106"/>
      <c r="E7" s="15">
        <f>I23</f>
        <v>0</v>
      </c>
      <c r="F7" s="5"/>
      <c r="G7" s="102"/>
      <c r="H7" s="102"/>
      <c r="I7" s="102"/>
      <c r="J7" s="102"/>
      <c r="K7" s="102"/>
      <c r="L7" s="117"/>
      <c r="P7" s="34"/>
      <c r="Q7" s="44"/>
      <c r="R7" s="44"/>
      <c r="S7" s="44"/>
      <c r="T7" s="44"/>
      <c r="U7" s="44"/>
      <c r="V7" s="44"/>
      <c r="W7" s="44"/>
      <c r="X7" s="44"/>
      <c r="Y7" s="44"/>
    </row>
    <row r="8" spans="1:32" ht="16.149999999999999" customHeight="1" x14ac:dyDescent="0.2">
      <c r="A8" s="2"/>
      <c r="B8" s="115"/>
      <c r="C8" s="105" t="s">
        <v>18</v>
      </c>
      <c r="D8" s="106"/>
      <c r="E8" s="15"/>
      <c r="F8" s="5"/>
      <c r="G8" s="102" t="s">
        <v>36</v>
      </c>
      <c r="H8" s="102"/>
      <c r="I8" s="102"/>
      <c r="J8" s="102"/>
      <c r="K8" s="102"/>
      <c r="L8" s="117">
        <f>L6-L4</f>
        <v>790</v>
      </c>
      <c r="Q8" s="44"/>
      <c r="R8" s="44"/>
      <c r="S8" s="44"/>
      <c r="T8" s="44"/>
      <c r="U8" s="44"/>
      <c r="V8" s="44"/>
      <c r="W8" s="44"/>
      <c r="X8" s="44"/>
      <c r="Y8" s="44"/>
    </row>
    <row r="9" spans="1:32" ht="16.149999999999999" customHeight="1" x14ac:dyDescent="0.2">
      <c r="A9" s="2"/>
      <c r="B9" s="116"/>
      <c r="C9" s="100" t="s">
        <v>19</v>
      </c>
      <c r="D9" s="101"/>
      <c r="E9" s="66">
        <f>SUM(E7:E8)</f>
        <v>0</v>
      </c>
      <c r="F9" s="5"/>
      <c r="G9" s="102"/>
      <c r="H9" s="102"/>
      <c r="I9" s="102"/>
      <c r="J9" s="102"/>
      <c r="K9" s="102"/>
      <c r="L9" s="117"/>
      <c r="Q9" s="60"/>
      <c r="R9" s="61"/>
      <c r="S9" s="44"/>
      <c r="T9" s="60"/>
      <c r="U9" s="61"/>
      <c r="V9" s="44"/>
      <c r="W9" s="60"/>
      <c r="X9" s="61"/>
      <c r="Y9" s="44"/>
    </row>
    <row r="10" spans="1:32" ht="16.149999999999999" customHeight="1" thickBot="1" x14ac:dyDescent="0.25">
      <c r="A10" s="2"/>
      <c r="B10" s="68"/>
      <c r="C10" s="68"/>
      <c r="D10" s="9"/>
      <c r="E10" s="10"/>
      <c r="F10" s="5"/>
      <c r="G10" s="11"/>
      <c r="H10" s="11"/>
      <c r="I10" s="11"/>
      <c r="J10" s="11"/>
      <c r="K10" s="11"/>
      <c r="L10" s="12"/>
      <c r="R10" s="23"/>
    </row>
    <row r="11" spans="1:32" ht="16.149999999999999" customHeight="1" thickBot="1" x14ac:dyDescent="0.25">
      <c r="A11" s="2"/>
      <c r="B11" s="16" t="s">
        <v>80</v>
      </c>
      <c r="C11" s="17" t="s">
        <v>0</v>
      </c>
      <c r="D11" s="17" t="s">
        <v>1</v>
      </c>
      <c r="E11" s="18" t="s">
        <v>2</v>
      </c>
      <c r="F11" s="5"/>
      <c r="G11" s="11"/>
      <c r="H11" s="92" t="s">
        <v>42</v>
      </c>
      <c r="I11" s="94"/>
      <c r="J11" s="11"/>
      <c r="K11" s="139" t="s">
        <v>104</v>
      </c>
      <c r="L11" s="140"/>
      <c r="M11" s="140"/>
      <c r="N11" s="140"/>
      <c r="O11" s="140"/>
      <c r="P11" s="140"/>
      <c r="Q11" s="140"/>
      <c r="R11" s="140"/>
      <c r="S11" s="140"/>
      <c r="T11" s="140"/>
      <c r="U11" s="140"/>
      <c r="V11" s="140"/>
      <c r="W11" s="140"/>
      <c r="X11" s="141"/>
    </row>
    <row r="12" spans="1:32" ht="16.149999999999999" customHeight="1" thickBot="1" x14ac:dyDescent="0.25">
      <c r="A12" s="2"/>
      <c r="B12" s="22" t="s">
        <v>50</v>
      </c>
      <c r="C12" s="19">
        <v>0</v>
      </c>
      <c r="D12" s="19">
        <f>L16</f>
        <v>0</v>
      </c>
      <c r="E12" s="20">
        <f>Table11438506274869829[Projected Cost]-Table11438506274869829[Actual Cost]</f>
        <v>0</v>
      </c>
      <c r="F12" s="5"/>
      <c r="H12" s="24" t="s">
        <v>38</v>
      </c>
      <c r="I12" s="25" t="s">
        <v>46</v>
      </c>
      <c r="J12" s="41"/>
      <c r="K12" s="148" t="s">
        <v>50</v>
      </c>
      <c r="L12" s="149"/>
      <c r="M12" s="44"/>
      <c r="N12" s="148" t="s">
        <v>51</v>
      </c>
      <c r="O12" s="149"/>
      <c r="P12" s="44"/>
      <c r="Q12" s="150" t="s">
        <v>54</v>
      </c>
      <c r="R12" s="151"/>
      <c r="S12" s="44"/>
      <c r="T12" s="148" t="s">
        <v>5</v>
      </c>
      <c r="U12" s="149"/>
      <c r="V12" s="44"/>
      <c r="W12" s="148" t="s">
        <v>6</v>
      </c>
      <c r="X12" s="149"/>
    </row>
    <row r="13" spans="1:32" ht="16.149999999999999" customHeight="1" thickBot="1" x14ac:dyDescent="0.25">
      <c r="A13" s="2"/>
      <c r="B13" s="22" t="s">
        <v>51</v>
      </c>
      <c r="C13" s="19">
        <v>0</v>
      </c>
      <c r="D13" s="19">
        <f>O16</f>
        <v>0</v>
      </c>
      <c r="E13" s="20">
        <f>Table11438506274869829[Projected Cost]-Table11438506274869829[Actual Cost]</f>
        <v>0</v>
      </c>
      <c r="F13" s="5"/>
      <c r="H13" s="26" t="s">
        <v>44</v>
      </c>
      <c r="I13" s="27"/>
      <c r="J13" s="42"/>
      <c r="K13" s="45" t="s">
        <v>38</v>
      </c>
      <c r="L13" s="46" t="s">
        <v>46</v>
      </c>
      <c r="M13" s="44"/>
      <c r="N13" s="45" t="s">
        <v>38</v>
      </c>
      <c r="O13" s="46" t="s">
        <v>46</v>
      </c>
      <c r="P13" s="44"/>
      <c r="Q13" s="45" t="s">
        <v>38</v>
      </c>
      <c r="R13" s="46" t="s">
        <v>46</v>
      </c>
      <c r="S13" s="44"/>
      <c r="T13" s="45" t="s">
        <v>38</v>
      </c>
      <c r="U13" s="46" t="s">
        <v>46</v>
      </c>
      <c r="V13" s="44"/>
      <c r="W13" s="45" t="s">
        <v>38</v>
      </c>
      <c r="X13" s="46" t="s">
        <v>46</v>
      </c>
    </row>
    <row r="14" spans="1:32" ht="16.149999999999999" customHeight="1" x14ac:dyDescent="0.2">
      <c r="A14" s="2"/>
      <c r="B14" s="22" t="s">
        <v>52</v>
      </c>
      <c r="C14" s="19">
        <v>0</v>
      </c>
      <c r="D14" s="19">
        <f>R22</f>
        <v>0</v>
      </c>
      <c r="E14" s="20">
        <f>Table11438506274869829[Projected Cost]-Table11438506274869829[Actual Cost]</f>
        <v>0</v>
      </c>
      <c r="F14" s="5"/>
      <c r="H14" s="26"/>
      <c r="I14" s="27"/>
      <c r="J14" s="42"/>
      <c r="K14" s="47" t="s">
        <v>53</v>
      </c>
      <c r="L14" s="48"/>
      <c r="M14" s="44"/>
      <c r="N14" s="47" t="s">
        <v>56</v>
      </c>
      <c r="O14" s="48"/>
      <c r="P14" s="44"/>
      <c r="Q14" s="47" t="s">
        <v>55</v>
      </c>
      <c r="R14" s="48"/>
      <c r="S14" s="44"/>
      <c r="T14" s="47" t="s">
        <v>57</v>
      </c>
      <c r="U14" s="48"/>
      <c r="V14" s="44"/>
      <c r="W14" s="47"/>
      <c r="X14" s="48"/>
    </row>
    <row r="15" spans="1:32" ht="16.149999999999999" customHeight="1" thickBot="1" x14ac:dyDescent="0.25">
      <c r="A15" s="2"/>
      <c r="B15" s="22" t="s">
        <v>5</v>
      </c>
      <c r="C15" s="19">
        <v>50</v>
      </c>
      <c r="D15" s="19">
        <f>U22</f>
        <v>0</v>
      </c>
      <c r="E15" s="20">
        <f>Table11438506274869829[Projected Cost]-Table11438506274869829[Actual Cost]</f>
        <v>50</v>
      </c>
      <c r="F15" s="5"/>
      <c r="H15" s="26"/>
      <c r="I15" s="27"/>
      <c r="J15" s="42"/>
      <c r="K15" s="47"/>
      <c r="L15" s="48"/>
      <c r="M15" s="44"/>
      <c r="N15" s="47"/>
      <c r="O15" s="48"/>
      <c r="P15" s="44"/>
      <c r="Q15" s="47"/>
      <c r="R15" s="48"/>
      <c r="S15" s="44"/>
      <c r="T15" s="47"/>
      <c r="U15" s="48"/>
      <c r="V15" s="44"/>
      <c r="W15" s="47"/>
      <c r="X15" s="48"/>
    </row>
    <row r="16" spans="1:32" ht="16.149999999999999" customHeight="1" thickBot="1" x14ac:dyDescent="0.25">
      <c r="A16" s="2"/>
      <c r="B16" s="22" t="s">
        <v>6</v>
      </c>
      <c r="C16" s="19">
        <v>50</v>
      </c>
      <c r="D16" s="19">
        <f>X18</f>
        <v>0</v>
      </c>
      <c r="E16" s="20">
        <f>Table11438506274869829[Projected Cost]-Table11438506274869829[Actual Cost]</f>
        <v>50</v>
      </c>
      <c r="F16" s="5"/>
      <c r="H16" s="26"/>
      <c r="I16" s="27"/>
      <c r="J16" s="42"/>
      <c r="K16" s="49" t="s">
        <v>33</v>
      </c>
      <c r="L16" s="50">
        <f>SUM(L14:L15)</f>
        <v>0</v>
      </c>
      <c r="M16" s="44"/>
      <c r="N16" s="49" t="s">
        <v>33</v>
      </c>
      <c r="O16" s="50">
        <f>SUM(O14:O15)</f>
        <v>0</v>
      </c>
      <c r="P16" s="44"/>
      <c r="Q16" s="47"/>
      <c r="R16" s="48"/>
      <c r="S16" s="44"/>
      <c r="T16" s="47"/>
      <c r="U16" s="48"/>
      <c r="V16" s="44"/>
      <c r="W16" s="47"/>
      <c r="X16" s="48"/>
    </row>
    <row r="17" spans="1:24" ht="16.149999999999999" customHeight="1" thickBot="1" x14ac:dyDescent="0.25">
      <c r="A17" s="2"/>
      <c r="B17" s="16" t="s">
        <v>33</v>
      </c>
      <c r="C17" s="19">
        <f>SUBTOTAL(109,Table11438506274869829[Projected Cost])</f>
        <v>100</v>
      </c>
      <c r="D17" s="19">
        <f>SUBTOTAL(109,Table11438506274869829[Actual Cost])</f>
        <v>0</v>
      </c>
      <c r="E17" s="21">
        <f>SUBTOTAL(109,Table11438506274869829[Difference])</f>
        <v>100</v>
      </c>
      <c r="F17" s="5"/>
      <c r="H17" s="28"/>
      <c r="I17" s="29"/>
      <c r="J17" s="42"/>
      <c r="K17" s="51"/>
      <c r="L17" s="44"/>
      <c r="M17" s="44"/>
      <c r="N17" s="44"/>
      <c r="O17" s="44"/>
      <c r="P17" s="44"/>
      <c r="Q17" s="47"/>
      <c r="R17" s="48"/>
      <c r="S17" s="44"/>
      <c r="T17" s="47"/>
      <c r="U17" s="48"/>
      <c r="V17" s="44"/>
      <c r="W17" s="47"/>
      <c r="X17" s="48"/>
    </row>
    <row r="18" spans="1:24" ht="16.149999999999999" customHeight="1" thickBot="1" x14ac:dyDescent="0.25">
      <c r="A18" s="2"/>
      <c r="B18" s="16"/>
      <c r="C18" s="19"/>
      <c r="D18" s="19"/>
      <c r="E18" s="21"/>
      <c r="F18" s="5"/>
      <c r="H18" s="28"/>
      <c r="I18" s="29"/>
      <c r="J18" s="42"/>
      <c r="K18" s="52"/>
      <c r="L18" s="53"/>
      <c r="M18" s="44"/>
      <c r="N18" s="44"/>
      <c r="O18" s="44"/>
      <c r="P18" s="44"/>
      <c r="Q18" s="47"/>
      <c r="R18" s="48"/>
      <c r="S18" s="44"/>
      <c r="T18" s="47"/>
      <c r="U18" s="48"/>
      <c r="V18" s="44"/>
      <c r="W18" s="49" t="s">
        <v>33</v>
      </c>
      <c r="X18" s="50">
        <f>SUM(X14:X17)</f>
        <v>0</v>
      </c>
    </row>
    <row r="19" spans="1:24" ht="16.149999999999999" customHeight="1" x14ac:dyDescent="0.2">
      <c r="A19" s="2"/>
      <c r="B19" s="16" t="s">
        <v>22</v>
      </c>
      <c r="C19" s="17" t="s">
        <v>0</v>
      </c>
      <c r="D19" s="17" t="s">
        <v>1</v>
      </c>
      <c r="E19" s="18" t="s">
        <v>2</v>
      </c>
      <c r="F19" s="14"/>
      <c r="H19" s="28"/>
      <c r="I19" s="29"/>
      <c r="J19" s="42"/>
      <c r="K19" s="52"/>
      <c r="L19" s="53"/>
      <c r="M19" s="44"/>
      <c r="N19" s="44"/>
      <c r="O19" s="44"/>
      <c r="P19" s="44"/>
      <c r="Q19" s="47"/>
      <c r="R19" s="48"/>
      <c r="S19" s="44"/>
      <c r="T19" s="47"/>
      <c r="U19" s="48"/>
      <c r="V19" s="44"/>
      <c r="W19" s="44"/>
      <c r="X19" s="54"/>
    </row>
    <row r="20" spans="1:24" ht="15.75" customHeight="1" x14ac:dyDescent="0.2">
      <c r="A20" s="2"/>
      <c r="B20" s="22" t="s">
        <v>48</v>
      </c>
      <c r="C20" s="19">
        <f>IF('Starting Page'!I24="Yes",'Starting Page'!I25/8,IF('Starting Page'!I27="Yes",'Starting Page'!I28,0))</f>
        <v>0</v>
      </c>
      <c r="D20" s="19">
        <f>L29</f>
        <v>0</v>
      </c>
      <c r="E20" s="20">
        <f>Table1143850627486983[Projected Cost]-Table1143850627486983[Actual Cost]</f>
        <v>0</v>
      </c>
      <c r="F20" s="67"/>
      <c r="H20" s="28"/>
      <c r="I20" s="29"/>
      <c r="J20" s="42"/>
      <c r="K20" s="51"/>
      <c r="L20" s="44"/>
      <c r="M20" s="44"/>
      <c r="N20" s="44"/>
      <c r="O20" s="44"/>
      <c r="P20" s="44"/>
      <c r="Q20" s="47"/>
      <c r="R20" s="48"/>
      <c r="S20" s="44"/>
      <c r="T20" s="47"/>
      <c r="U20" s="48"/>
      <c r="V20" s="44"/>
      <c r="W20" s="44"/>
      <c r="X20" s="54"/>
    </row>
    <row r="21" spans="1:24" ht="15.75" customHeight="1" thickBot="1" x14ac:dyDescent="0.25">
      <c r="A21" s="2"/>
      <c r="B21" s="22" t="s">
        <v>4</v>
      </c>
      <c r="C21" s="19">
        <v>70</v>
      </c>
      <c r="D21" s="19">
        <f>O29</f>
        <v>0</v>
      </c>
      <c r="E21" s="20">
        <f>Table1143850627486983[Projected Cost]-Table1143850627486983[Actual Cost]</f>
        <v>70</v>
      </c>
      <c r="F21" s="67"/>
      <c r="H21" s="28"/>
      <c r="I21" s="29"/>
      <c r="J21" s="42"/>
      <c r="K21" s="51"/>
      <c r="L21" s="44"/>
      <c r="M21" s="44"/>
      <c r="N21" s="44"/>
      <c r="O21" s="44"/>
      <c r="P21" s="44"/>
      <c r="Q21" s="47"/>
      <c r="R21" s="48"/>
      <c r="S21" s="44"/>
      <c r="T21" s="47"/>
      <c r="U21" s="48"/>
      <c r="V21" s="44"/>
      <c r="W21" s="44"/>
      <c r="X21" s="54"/>
    </row>
    <row r="22" spans="1:24" ht="15.75" customHeight="1" thickBot="1" x14ac:dyDescent="0.25">
      <c r="A22" s="2"/>
      <c r="B22" s="22" t="s">
        <v>47</v>
      </c>
      <c r="C22" s="19">
        <v>20</v>
      </c>
      <c r="D22" s="19">
        <f>R29</f>
        <v>0</v>
      </c>
      <c r="E22" s="20">
        <f>Table1143850627486983[Projected Cost]-Table1143850627486983[Actual Cost]</f>
        <v>20</v>
      </c>
      <c r="F22" s="67"/>
      <c r="H22" s="28"/>
      <c r="I22" s="29"/>
      <c r="J22" s="42"/>
      <c r="K22" s="55"/>
      <c r="L22" s="56"/>
      <c r="M22" s="56"/>
      <c r="N22" s="56"/>
      <c r="O22" s="56"/>
      <c r="P22" s="56"/>
      <c r="Q22" s="49" t="s">
        <v>33</v>
      </c>
      <c r="R22" s="50">
        <f>SUM(R14:R21)</f>
        <v>0</v>
      </c>
      <c r="S22" s="56"/>
      <c r="T22" s="49" t="s">
        <v>33</v>
      </c>
      <c r="U22" s="50">
        <f>SUM(U14:U21)</f>
        <v>0</v>
      </c>
      <c r="V22" s="56"/>
      <c r="W22" s="56"/>
      <c r="X22" s="57"/>
    </row>
    <row r="23" spans="1:24" ht="15.75" customHeight="1" thickBot="1" x14ac:dyDescent="0.25">
      <c r="A23" s="2"/>
      <c r="B23" s="22" t="s">
        <v>37</v>
      </c>
      <c r="C23" s="19">
        <v>20</v>
      </c>
      <c r="D23" s="19">
        <f>U29</f>
        <v>0</v>
      </c>
      <c r="E23" s="20">
        <f>Table1143850627486983[Projected Cost]-Table1143850627486983[Actual Cost]</f>
        <v>20</v>
      </c>
      <c r="F23" s="67"/>
      <c r="H23" s="36" t="s">
        <v>33</v>
      </c>
      <c r="I23" s="30">
        <f>SUM(I13:I22)</f>
        <v>0</v>
      </c>
      <c r="J23" s="42"/>
      <c r="U23" s="23"/>
    </row>
    <row r="24" spans="1:24" ht="15.75" customHeight="1" thickBot="1" x14ac:dyDescent="0.25">
      <c r="A24" s="2"/>
      <c r="B24" s="22" t="s">
        <v>6</v>
      </c>
      <c r="C24" s="19">
        <v>50</v>
      </c>
      <c r="D24" s="19">
        <f>X29</f>
        <v>0</v>
      </c>
      <c r="E24" s="20">
        <f>Table1143850627486983[Projected Cost]-Table1143850627486983[Actual Cost]</f>
        <v>50</v>
      </c>
      <c r="F24" s="67"/>
      <c r="I24" s="43"/>
      <c r="J24" s="42"/>
      <c r="K24" s="139" t="s">
        <v>58</v>
      </c>
      <c r="L24" s="140"/>
      <c r="M24" s="140"/>
      <c r="N24" s="140"/>
      <c r="O24" s="140"/>
      <c r="P24" s="140"/>
      <c r="Q24" s="140"/>
      <c r="R24" s="140"/>
      <c r="S24" s="140"/>
      <c r="T24" s="140"/>
      <c r="U24" s="140"/>
      <c r="V24" s="140"/>
      <c r="W24" s="140"/>
      <c r="X24" s="141"/>
    </row>
    <row r="25" spans="1:24" ht="15.75" customHeight="1" thickBot="1" x14ac:dyDescent="0.25">
      <c r="A25" s="2"/>
      <c r="B25" s="16" t="s">
        <v>33</v>
      </c>
      <c r="C25" s="19">
        <f>SUBTOTAL(109,Table1143850627486983[Projected Cost])</f>
        <v>160</v>
      </c>
      <c r="D25" s="19">
        <f>SUBTOTAL(109,Table1143850627486983[Actual Cost])</f>
        <v>0</v>
      </c>
      <c r="E25" s="21">
        <f>SUBTOTAL(109,Table1143850627486983[Difference])</f>
        <v>160</v>
      </c>
      <c r="F25" s="67"/>
      <c r="J25" s="42"/>
      <c r="K25" s="148" t="s">
        <v>48</v>
      </c>
      <c r="L25" s="149"/>
      <c r="M25" s="44"/>
      <c r="N25" s="148" t="s">
        <v>4</v>
      </c>
      <c r="O25" s="149"/>
      <c r="P25" s="44"/>
      <c r="Q25" s="148" t="s">
        <v>47</v>
      </c>
      <c r="R25" s="149"/>
      <c r="S25" s="44"/>
      <c r="T25" s="148" t="s">
        <v>37</v>
      </c>
      <c r="U25" s="149"/>
      <c r="V25" s="44"/>
      <c r="W25" s="148" t="s">
        <v>6</v>
      </c>
      <c r="X25" s="149"/>
    </row>
    <row r="26" spans="1:24" ht="15.75" customHeight="1" thickBot="1" x14ac:dyDescent="0.25">
      <c r="A26" s="2"/>
      <c r="B26" s="113"/>
      <c r="C26" s="113"/>
      <c r="D26" s="113"/>
      <c r="E26" s="113"/>
      <c r="F26" s="67"/>
      <c r="J26" s="42"/>
      <c r="K26" s="45" t="s">
        <v>38</v>
      </c>
      <c r="L26" s="46" t="s">
        <v>46</v>
      </c>
      <c r="M26" s="44"/>
      <c r="N26" s="45" t="s">
        <v>38</v>
      </c>
      <c r="O26" s="46" t="s">
        <v>46</v>
      </c>
      <c r="P26" s="44"/>
      <c r="Q26" s="45" t="s">
        <v>38</v>
      </c>
      <c r="R26" s="46" t="s">
        <v>46</v>
      </c>
      <c r="S26" s="44"/>
      <c r="T26" s="45" t="s">
        <v>38</v>
      </c>
      <c r="U26" s="46" t="s">
        <v>46</v>
      </c>
      <c r="V26" s="44"/>
      <c r="W26" s="45" t="s">
        <v>38</v>
      </c>
      <c r="X26" s="46" t="s">
        <v>46</v>
      </c>
    </row>
    <row r="27" spans="1:24" ht="15.75" customHeight="1" x14ac:dyDescent="0.2">
      <c r="A27" s="2"/>
      <c r="B27" s="16" t="s">
        <v>24</v>
      </c>
      <c r="C27" s="17" t="s">
        <v>0</v>
      </c>
      <c r="D27" s="17" t="s">
        <v>1</v>
      </c>
      <c r="E27" s="18" t="s">
        <v>2</v>
      </c>
      <c r="F27" s="67"/>
      <c r="J27" s="42"/>
      <c r="K27" s="47" t="s">
        <v>48</v>
      </c>
      <c r="L27" s="48"/>
      <c r="M27" s="44"/>
      <c r="N27" s="47" t="s">
        <v>59</v>
      </c>
      <c r="O27" s="48"/>
      <c r="P27" s="44"/>
      <c r="Q27" s="47" t="s">
        <v>60</v>
      </c>
      <c r="R27" s="48"/>
      <c r="S27" s="44"/>
      <c r="T27" s="47" t="s">
        <v>59</v>
      </c>
      <c r="U27" s="48"/>
      <c r="V27" s="44"/>
      <c r="W27" s="47" t="s">
        <v>61</v>
      </c>
      <c r="X27" s="48"/>
    </row>
    <row r="28" spans="1:24" ht="15.75" customHeight="1" thickBot="1" x14ac:dyDescent="0.25">
      <c r="A28" s="2"/>
      <c r="B28" s="22" t="s">
        <v>20</v>
      </c>
      <c r="C28" s="19">
        <v>0</v>
      </c>
      <c r="D28" s="19">
        <f>L36</f>
        <v>0</v>
      </c>
      <c r="E28" s="20">
        <f>Table32145576981931056[Projected Cost]-Table32145576981931056[Actual Cost]</f>
        <v>0</v>
      </c>
      <c r="F28" s="67"/>
      <c r="J28" s="43"/>
      <c r="K28" s="47"/>
      <c r="L28" s="48"/>
      <c r="M28" s="44"/>
      <c r="N28" s="47"/>
      <c r="O28" s="48"/>
      <c r="P28" s="44"/>
      <c r="Q28" s="47"/>
      <c r="R28" s="48"/>
      <c r="S28" s="44"/>
      <c r="T28" s="47"/>
      <c r="U28" s="48"/>
      <c r="V28" s="44"/>
      <c r="W28" s="47"/>
      <c r="X28" s="48"/>
    </row>
    <row r="29" spans="1:24" ht="15.75" customHeight="1" thickBot="1" x14ac:dyDescent="0.25">
      <c r="A29" s="2"/>
      <c r="B29" s="22" t="s">
        <v>7</v>
      </c>
      <c r="C29" s="19">
        <v>0</v>
      </c>
      <c r="D29" s="19">
        <f>O36</f>
        <v>0</v>
      </c>
      <c r="E29" s="20">
        <f>Table32145576981931056[Projected Cost]-Table32145576981931056[Actual Cost]</f>
        <v>0</v>
      </c>
      <c r="F29" s="67"/>
      <c r="K29" s="49" t="s">
        <v>33</v>
      </c>
      <c r="L29" s="50">
        <f>SUM(L27:L28)</f>
        <v>0</v>
      </c>
      <c r="M29" s="56"/>
      <c r="N29" s="49" t="s">
        <v>33</v>
      </c>
      <c r="O29" s="50">
        <f>SUM(O27:O28)</f>
        <v>0</v>
      </c>
      <c r="P29" s="56"/>
      <c r="Q29" s="49" t="s">
        <v>33</v>
      </c>
      <c r="R29" s="50">
        <f>SUM(R27:R28)</f>
        <v>0</v>
      </c>
      <c r="S29" s="56"/>
      <c r="T29" s="49" t="s">
        <v>33</v>
      </c>
      <c r="U29" s="50">
        <f>SUM(U27:U28)</f>
        <v>0</v>
      </c>
      <c r="V29" s="56"/>
      <c r="W29" s="49" t="s">
        <v>33</v>
      </c>
      <c r="X29" s="50">
        <f>SUM(X27:X28)</f>
        <v>0</v>
      </c>
    </row>
    <row r="30" spans="1:24" ht="15.75" customHeight="1" thickBot="1" x14ac:dyDescent="0.25">
      <c r="A30" s="2"/>
      <c r="B30" s="22" t="s">
        <v>8</v>
      </c>
      <c r="C30" s="19">
        <v>0</v>
      </c>
      <c r="D30" s="19">
        <f>R40</f>
        <v>0</v>
      </c>
      <c r="E30" s="20">
        <f>Table32145576981931056[Projected Cost]-Table32145576981931056[Actual Cost]</f>
        <v>0</v>
      </c>
      <c r="F30" s="67"/>
      <c r="K30" s="44"/>
      <c r="L30" s="44"/>
      <c r="M30" s="44"/>
      <c r="N30" s="44"/>
      <c r="O30" s="44"/>
      <c r="P30" s="44"/>
      <c r="Q30" s="58"/>
      <c r="R30" s="58"/>
      <c r="S30" s="58"/>
      <c r="T30" s="58"/>
      <c r="U30" s="58"/>
      <c r="V30" s="44"/>
      <c r="W30" s="44"/>
      <c r="X30" s="44"/>
    </row>
    <row r="31" spans="1:24" ht="15.75" customHeight="1" thickBot="1" x14ac:dyDescent="0.25">
      <c r="A31" s="2"/>
      <c r="B31" s="22" t="s">
        <v>9</v>
      </c>
      <c r="C31" s="19">
        <v>0</v>
      </c>
      <c r="D31" s="19">
        <f>U38</f>
        <v>0</v>
      </c>
      <c r="E31" s="20">
        <f>Table32145576981931056[Projected Cost]-Table32145576981931056[Actual Cost]</f>
        <v>0</v>
      </c>
      <c r="F31" s="67"/>
      <c r="K31" s="139" t="s">
        <v>63</v>
      </c>
      <c r="L31" s="140"/>
      <c r="M31" s="140"/>
      <c r="N31" s="140"/>
      <c r="O31" s="140"/>
      <c r="P31" s="140"/>
      <c r="Q31" s="140"/>
      <c r="R31" s="140"/>
      <c r="S31" s="140"/>
      <c r="T31" s="140"/>
      <c r="U31" s="140"/>
      <c r="V31" s="140"/>
      <c r="W31" s="140"/>
      <c r="X31" s="141"/>
    </row>
    <row r="32" spans="1:24" ht="15.75" customHeight="1" thickBot="1" x14ac:dyDescent="0.25">
      <c r="A32" s="2"/>
      <c r="B32" s="22" t="s">
        <v>62</v>
      </c>
      <c r="C32" s="19">
        <v>50</v>
      </c>
      <c r="D32" s="19">
        <f>X40</f>
        <v>0</v>
      </c>
      <c r="E32" s="20">
        <f>Table32145576981931056[Projected Cost]-Table32145576981931056[Actual Cost]</f>
        <v>50</v>
      </c>
      <c r="F32" s="67"/>
      <c r="K32" s="148" t="s">
        <v>39</v>
      </c>
      <c r="L32" s="149"/>
      <c r="M32" s="44"/>
      <c r="N32" s="148" t="s">
        <v>7</v>
      </c>
      <c r="O32" s="149"/>
      <c r="P32" s="44"/>
      <c r="Q32" s="148" t="s">
        <v>8</v>
      </c>
      <c r="R32" s="149"/>
      <c r="S32" s="44"/>
      <c r="T32" s="148" t="s">
        <v>9</v>
      </c>
      <c r="U32" s="149"/>
      <c r="V32" s="44"/>
      <c r="W32" s="148" t="s">
        <v>62</v>
      </c>
      <c r="X32" s="149"/>
    </row>
    <row r="33" spans="1:24" ht="15.75" customHeight="1" thickBot="1" x14ac:dyDescent="0.25">
      <c r="A33" s="2"/>
      <c r="B33" s="16" t="s">
        <v>33</v>
      </c>
      <c r="C33" s="19">
        <f>SUBTOTAL(109,Table32145576981931056[Projected Cost])</f>
        <v>50</v>
      </c>
      <c r="D33" s="19">
        <f>SUBTOTAL(109,Table32145576981931056[Actual Cost])</f>
        <v>0</v>
      </c>
      <c r="E33" s="21">
        <f>SUBTOTAL(109,Table32145576981931056[Difference])</f>
        <v>50</v>
      </c>
      <c r="F33" s="67"/>
      <c r="K33" s="45" t="s">
        <v>38</v>
      </c>
      <c r="L33" s="46" t="s">
        <v>46</v>
      </c>
      <c r="M33" s="44"/>
      <c r="N33" s="45" t="s">
        <v>38</v>
      </c>
      <c r="O33" s="46" t="s">
        <v>46</v>
      </c>
      <c r="P33" s="44"/>
      <c r="Q33" s="45" t="s">
        <v>38</v>
      </c>
      <c r="R33" s="46" t="s">
        <v>46</v>
      </c>
      <c r="S33" s="44"/>
      <c r="T33" s="45" t="s">
        <v>38</v>
      </c>
      <c r="U33" s="46" t="s">
        <v>46</v>
      </c>
      <c r="V33" s="44"/>
      <c r="W33" s="45" t="s">
        <v>38</v>
      </c>
      <c r="X33" s="46" t="s">
        <v>46</v>
      </c>
    </row>
    <row r="34" spans="1:24" ht="15.75" customHeight="1" x14ac:dyDescent="0.2">
      <c r="A34" s="2"/>
      <c r="B34" s="113"/>
      <c r="C34" s="113"/>
      <c r="D34" s="113"/>
      <c r="E34" s="113"/>
      <c r="F34" s="67"/>
      <c r="K34" s="47" t="s">
        <v>64</v>
      </c>
      <c r="L34" s="48"/>
      <c r="M34" s="44"/>
      <c r="N34" s="47" t="s">
        <v>59</v>
      </c>
      <c r="O34" s="48"/>
      <c r="P34" s="44"/>
      <c r="Q34" s="47" t="s">
        <v>65</v>
      </c>
      <c r="R34" s="48"/>
      <c r="S34" s="44"/>
      <c r="T34" s="47" t="s">
        <v>67</v>
      </c>
      <c r="U34" s="48"/>
      <c r="V34" s="44"/>
      <c r="W34" s="47" t="s">
        <v>66</v>
      </c>
      <c r="X34" s="48"/>
    </row>
    <row r="35" spans="1:24" ht="15.75" customHeight="1" thickBot="1" x14ac:dyDescent="0.25">
      <c r="A35" s="2"/>
      <c r="B35" s="16" t="s">
        <v>25</v>
      </c>
      <c r="C35" s="17" t="s">
        <v>0</v>
      </c>
      <c r="D35" s="17" t="s">
        <v>1</v>
      </c>
      <c r="E35" s="18" t="s">
        <v>2</v>
      </c>
      <c r="F35" s="67"/>
      <c r="K35" s="47"/>
      <c r="L35" s="48"/>
      <c r="M35" s="44"/>
      <c r="N35" s="47"/>
      <c r="O35" s="48"/>
      <c r="P35" s="44"/>
      <c r="Q35" s="47"/>
      <c r="R35" s="48"/>
      <c r="S35" s="44"/>
      <c r="T35" s="47"/>
      <c r="U35" s="48"/>
      <c r="V35" s="44"/>
      <c r="W35" s="47"/>
      <c r="X35" s="48"/>
    </row>
    <row r="36" spans="1:24" ht="15.75" customHeight="1" thickBot="1" x14ac:dyDescent="0.25">
      <c r="A36" s="2"/>
      <c r="B36" s="22" t="s">
        <v>68</v>
      </c>
      <c r="C36" s="19">
        <v>15</v>
      </c>
      <c r="D36" s="19">
        <f>L46</f>
        <v>0</v>
      </c>
      <c r="E36" s="20">
        <f>Table4153951637587994[Projected Cost]-Table4153951637587994[Actual Cost]</f>
        <v>15</v>
      </c>
      <c r="F36" s="67"/>
      <c r="K36" s="49" t="s">
        <v>33</v>
      </c>
      <c r="L36" s="50">
        <f>SUM(L34:L35)</f>
        <v>0</v>
      </c>
      <c r="M36" s="44"/>
      <c r="N36" s="49" t="s">
        <v>33</v>
      </c>
      <c r="O36" s="50">
        <f>SUM(O34:O35)</f>
        <v>0</v>
      </c>
      <c r="P36" s="44"/>
      <c r="Q36" s="47"/>
      <c r="R36" s="48"/>
      <c r="S36" s="44"/>
      <c r="T36" s="47"/>
      <c r="U36" s="48"/>
      <c r="V36" s="44"/>
      <c r="W36" s="47"/>
      <c r="X36" s="48"/>
    </row>
    <row r="37" spans="1:24" ht="15.75" customHeight="1" thickBot="1" x14ac:dyDescent="0.25">
      <c r="A37" s="2"/>
      <c r="B37" s="16" t="s">
        <v>33</v>
      </c>
      <c r="C37" s="19">
        <f>SUBTOTAL(109,Table4153951637587994[Projected Cost])</f>
        <v>15</v>
      </c>
      <c r="D37" s="19">
        <f>SUBTOTAL(109,Table4153951637587994[Actual Cost])</f>
        <v>0</v>
      </c>
      <c r="E37" s="21">
        <f>SUBTOTAL(109,Table4153951637587994[Difference])</f>
        <v>15</v>
      </c>
      <c r="F37" s="67"/>
      <c r="K37" s="62"/>
      <c r="L37" s="58"/>
      <c r="M37" s="44"/>
      <c r="N37" s="58"/>
      <c r="O37" s="58"/>
      <c r="P37" s="44"/>
      <c r="Q37" s="47"/>
      <c r="R37" s="48"/>
      <c r="S37" s="44"/>
      <c r="T37" s="47"/>
      <c r="U37" s="48"/>
      <c r="V37" s="44"/>
      <c r="W37" s="47"/>
      <c r="X37" s="48"/>
    </row>
    <row r="38" spans="1:24" ht="15.75" customHeight="1" thickBot="1" x14ac:dyDescent="0.25">
      <c r="A38" s="2"/>
      <c r="B38" s="113"/>
      <c r="C38" s="113"/>
      <c r="D38" s="113"/>
      <c r="E38" s="113"/>
      <c r="F38" s="67"/>
      <c r="K38" s="62"/>
      <c r="L38" s="58"/>
      <c r="M38" s="44"/>
      <c r="N38" s="58"/>
      <c r="O38" s="58"/>
      <c r="P38" s="44"/>
      <c r="Q38" s="47"/>
      <c r="R38" s="48"/>
      <c r="S38" s="44"/>
      <c r="T38" s="49" t="s">
        <v>33</v>
      </c>
      <c r="U38" s="50">
        <f>SUM(U34:U37)</f>
        <v>0</v>
      </c>
      <c r="V38" s="44"/>
      <c r="W38" s="47"/>
      <c r="X38" s="48"/>
    </row>
    <row r="39" spans="1:24" ht="15.75" customHeight="1" thickBot="1" x14ac:dyDescent="0.25">
      <c r="A39" s="2"/>
      <c r="B39" s="16" t="s">
        <v>26</v>
      </c>
      <c r="C39" s="17" t="s">
        <v>0</v>
      </c>
      <c r="D39" s="17" t="s">
        <v>1</v>
      </c>
      <c r="E39" s="18" t="s">
        <v>2</v>
      </c>
      <c r="F39" s="67"/>
      <c r="K39" s="62"/>
      <c r="L39" s="58"/>
      <c r="M39" s="44"/>
      <c r="N39" s="58"/>
      <c r="O39" s="58"/>
      <c r="P39" s="44"/>
      <c r="Q39" s="47"/>
      <c r="R39" s="48"/>
      <c r="S39" s="44"/>
      <c r="T39" s="58"/>
      <c r="U39" s="58"/>
      <c r="V39" s="44"/>
      <c r="W39" s="47"/>
      <c r="X39" s="48"/>
    </row>
    <row r="40" spans="1:24" ht="15.75" customHeight="1" thickBot="1" x14ac:dyDescent="0.25">
      <c r="A40" s="2"/>
      <c r="B40" s="22" t="s">
        <v>92</v>
      </c>
      <c r="C40" s="19">
        <f>IF('Starting Page'!I24="Yes",'Starting Page'!I26/8,300)</f>
        <v>300</v>
      </c>
      <c r="D40" s="19">
        <f>O53</f>
        <v>0</v>
      </c>
      <c r="E40" s="20">
        <f>Table51943556779911035[Projected Cost]-Table51943556779911035[Actual Cost]</f>
        <v>300</v>
      </c>
      <c r="F40" s="67"/>
      <c r="K40" s="63"/>
      <c r="L40" s="59"/>
      <c r="M40" s="56"/>
      <c r="N40" s="59"/>
      <c r="O40" s="59"/>
      <c r="P40" s="56"/>
      <c r="Q40" s="49" t="s">
        <v>33</v>
      </c>
      <c r="R40" s="50">
        <f>SUM(R34:R39)</f>
        <v>0</v>
      </c>
      <c r="S40" s="56"/>
      <c r="T40" s="59"/>
      <c r="U40" s="59"/>
      <c r="V40" s="56"/>
      <c r="W40" s="49" t="s">
        <v>33</v>
      </c>
      <c r="X40" s="50">
        <f>SUM(X34:X39)</f>
        <v>0</v>
      </c>
    </row>
    <row r="41" spans="1:24" ht="15.75" customHeight="1" thickBot="1" x14ac:dyDescent="0.25">
      <c r="A41" s="2"/>
      <c r="B41" s="22" t="s">
        <v>15</v>
      </c>
      <c r="C41" s="19">
        <v>100</v>
      </c>
      <c r="D41" s="19">
        <f>R53</f>
        <v>0</v>
      </c>
      <c r="E41" s="20">
        <f>Table51943556779911035[Projected Cost]-Table51943556779911035[Actual Cost]</f>
        <v>100</v>
      </c>
      <c r="F41" s="67"/>
    </row>
    <row r="42" spans="1:24" ht="15.75" customHeight="1" thickBot="1" x14ac:dyDescent="0.25">
      <c r="A42" s="2"/>
      <c r="B42" s="22" t="s">
        <v>6</v>
      </c>
      <c r="C42" s="19">
        <v>0</v>
      </c>
      <c r="D42" s="19">
        <f>U49</f>
        <v>0</v>
      </c>
      <c r="E42" s="20">
        <f>Table51943556779911035[Projected Cost]-Table51943556779911035[Actual Cost]</f>
        <v>0</v>
      </c>
      <c r="F42" s="67"/>
      <c r="K42" s="144" t="s">
        <v>68</v>
      </c>
      <c r="L42" s="145"/>
      <c r="N42" s="139" t="s">
        <v>11</v>
      </c>
      <c r="O42" s="140"/>
      <c r="P42" s="140"/>
      <c r="Q42" s="140"/>
      <c r="R42" s="140"/>
      <c r="S42" s="140"/>
      <c r="T42" s="140"/>
      <c r="U42" s="141"/>
    </row>
    <row r="43" spans="1:24" ht="15.75" customHeight="1" thickBot="1" x14ac:dyDescent="0.25">
      <c r="A43" s="2"/>
      <c r="B43" s="16" t="s">
        <v>33</v>
      </c>
      <c r="C43" s="19">
        <f>SUBTOTAL(109,Table51943556779911035[Projected Cost])</f>
        <v>400</v>
      </c>
      <c r="D43" s="19">
        <f>SUBTOTAL(109,Table51943556779911035[Actual Cost])</f>
        <v>0</v>
      </c>
      <c r="E43" s="21">
        <f>SUBTOTAL(109,Table51943556779911035[Difference])</f>
        <v>400</v>
      </c>
      <c r="F43" s="67"/>
      <c r="K43" s="45" t="s">
        <v>38</v>
      </c>
      <c r="L43" s="46" t="s">
        <v>46</v>
      </c>
      <c r="N43" s="148" t="s">
        <v>10</v>
      </c>
      <c r="O43" s="149"/>
      <c r="P43" s="44"/>
      <c r="Q43" s="148" t="s">
        <v>40</v>
      </c>
      <c r="R43" s="149"/>
      <c r="S43" s="58"/>
      <c r="T43" s="148" t="s">
        <v>6</v>
      </c>
      <c r="U43" s="149"/>
    </row>
    <row r="44" spans="1:24" ht="15.75" customHeight="1" thickBot="1" x14ac:dyDescent="0.25">
      <c r="A44" s="2"/>
      <c r="B44" s="113"/>
      <c r="C44" s="113"/>
      <c r="D44" s="113"/>
      <c r="E44" s="113"/>
      <c r="F44" s="67"/>
      <c r="K44" s="47" t="s">
        <v>59</v>
      </c>
      <c r="L44" s="48"/>
      <c r="N44" s="45" t="s">
        <v>38</v>
      </c>
      <c r="O44" s="46" t="s">
        <v>46</v>
      </c>
      <c r="P44" s="44"/>
      <c r="Q44" s="45" t="s">
        <v>38</v>
      </c>
      <c r="R44" s="46" t="s">
        <v>46</v>
      </c>
      <c r="S44" s="58"/>
      <c r="T44" s="45" t="s">
        <v>38</v>
      </c>
      <c r="U44" s="46" t="s">
        <v>46</v>
      </c>
    </row>
    <row r="45" spans="1:24" ht="15.75" customHeight="1" thickBot="1" x14ac:dyDescent="0.25">
      <c r="A45" s="2"/>
      <c r="B45" s="16" t="s">
        <v>27</v>
      </c>
      <c r="C45" s="17" t="s">
        <v>0</v>
      </c>
      <c r="D45" s="17" t="s">
        <v>1</v>
      </c>
      <c r="E45" s="18" t="s">
        <v>2</v>
      </c>
      <c r="F45" s="67"/>
      <c r="K45" s="47"/>
      <c r="L45" s="48"/>
      <c r="N45" s="47" t="s">
        <v>69</v>
      </c>
      <c r="O45" s="48"/>
      <c r="P45" s="44"/>
      <c r="Q45" s="47" t="s">
        <v>70</v>
      </c>
      <c r="R45" s="48"/>
      <c r="S45" s="58"/>
      <c r="T45" s="47"/>
      <c r="U45" s="48"/>
    </row>
    <row r="46" spans="1:24" ht="17.25" customHeight="1" thickBot="1" x14ac:dyDescent="0.25">
      <c r="A46" s="2"/>
      <c r="B46" s="22" t="s">
        <v>12</v>
      </c>
      <c r="C46" s="19">
        <v>20</v>
      </c>
      <c r="D46" s="19">
        <f>L61</f>
        <v>0</v>
      </c>
      <c r="E46" s="20">
        <f>Table72448607284961087[Projected Cost]-Table72448607284961087[Actual Cost]</f>
        <v>20</v>
      </c>
      <c r="F46" s="67"/>
      <c r="K46" s="49" t="s">
        <v>33</v>
      </c>
      <c r="L46" s="50">
        <f>SUM(L44:L45)</f>
        <v>0</v>
      </c>
      <c r="N46" s="47"/>
      <c r="O46" s="48"/>
      <c r="P46" s="44"/>
      <c r="Q46" s="47"/>
      <c r="R46" s="48"/>
      <c r="S46" s="58"/>
      <c r="T46" s="47"/>
      <c r="U46" s="48"/>
    </row>
    <row r="47" spans="1:24" ht="15.75" customHeight="1" x14ac:dyDescent="0.2">
      <c r="A47" s="2"/>
      <c r="B47" s="22" t="s">
        <v>14</v>
      </c>
      <c r="C47" s="19">
        <v>50</v>
      </c>
      <c r="D47" s="19">
        <f>O60</f>
        <v>0</v>
      </c>
      <c r="E47" s="20">
        <f>Table72448607284961087[Projected Cost]-Table72448607284961087[Actual Cost]</f>
        <v>50</v>
      </c>
      <c r="F47" s="67"/>
      <c r="N47" s="47"/>
      <c r="O47" s="48"/>
      <c r="P47" s="44"/>
      <c r="Q47" s="47"/>
      <c r="R47" s="48"/>
      <c r="S47" s="58"/>
      <c r="T47" s="47"/>
      <c r="U47" s="48"/>
    </row>
    <row r="48" spans="1:24" ht="15.75" customHeight="1" thickBot="1" x14ac:dyDescent="0.25">
      <c r="A48" s="2"/>
      <c r="B48" s="22" t="s">
        <v>13</v>
      </c>
      <c r="C48" s="19">
        <v>50</v>
      </c>
      <c r="D48" s="19">
        <f>R64</f>
        <v>0</v>
      </c>
      <c r="E48" s="20">
        <f>Table72448607284961087[Projected Cost]-Table72448607284961087[Actual Cost]</f>
        <v>50</v>
      </c>
      <c r="F48" s="67"/>
      <c r="N48" s="47"/>
      <c r="O48" s="48"/>
      <c r="P48" s="44"/>
      <c r="Q48" s="47"/>
      <c r="R48" s="48"/>
      <c r="S48" s="58"/>
      <c r="T48" s="47"/>
      <c r="U48" s="48"/>
    </row>
    <row r="49" spans="1:24" ht="15.75" customHeight="1" thickBot="1" x14ac:dyDescent="0.25">
      <c r="A49" s="2"/>
      <c r="B49" s="22" t="s">
        <v>49</v>
      </c>
      <c r="C49" s="19">
        <v>40</v>
      </c>
      <c r="D49" s="19">
        <f>U60</f>
        <v>0</v>
      </c>
      <c r="E49" s="20">
        <f>Table72448607284961087[Projected Cost]-Table72448607284961087[Actual Cost]</f>
        <v>40</v>
      </c>
      <c r="F49" s="67"/>
      <c r="N49" s="47"/>
      <c r="O49" s="48"/>
      <c r="P49" s="44"/>
      <c r="Q49" s="47"/>
      <c r="R49" s="48"/>
      <c r="S49" s="58"/>
      <c r="T49" s="49" t="s">
        <v>33</v>
      </c>
      <c r="U49" s="50">
        <f>SUM(U45:U48)</f>
        <v>0</v>
      </c>
    </row>
    <row r="50" spans="1:24" ht="15.75" customHeight="1" x14ac:dyDescent="0.2">
      <c r="A50" s="2"/>
      <c r="B50" s="22" t="s">
        <v>6</v>
      </c>
      <c r="C50" s="19">
        <v>20</v>
      </c>
      <c r="D50" s="19">
        <f>X64</f>
        <v>0</v>
      </c>
      <c r="E50" s="20">
        <f>Table72448607284961087[Projected Cost]-Table72448607284961087[Actual Cost]</f>
        <v>20</v>
      </c>
      <c r="F50" s="67"/>
      <c r="N50" s="47"/>
      <c r="O50" s="48"/>
      <c r="P50" s="44"/>
      <c r="Q50" s="47"/>
      <c r="R50" s="48"/>
      <c r="S50" s="58"/>
      <c r="T50" s="58"/>
      <c r="U50" s="64"/>
    </row>
    <row r="51" spans="1:24" ht="15.75" customHeight="1" x14ac:dyDescent="0.2">
      <c r="A51" s="2"/>
      <c r="B51" s="16" t="s">
        <v>33</v>
      </c>
      <c r="C51" s="19">
        <f>SUBTOTAL(109,Table72448607284961087[Projected Cost])</f>
        <v>180</v>
      </c>
      <c r="D51" s="19">
        <f>SUBTOTAL(109,Table72448607284961087[Actual Cost])</f>
        <v>0</v>
      </c>
      <c r="E51" s="21">
        <f>SUBTOTAL(109,Table72448607284961087[Difference])</f>
        <v>180</v>
      </c>
      <c r="F51" s="67"/>
      <c r="N51" s="47"/>
      <c r="O51" s="48"/>
      <c r="P51" s="44"/>
      <c r="Q51" s="47"/>
      <c r="R51" s="48"/>
      <c r="S51" s="58"/>
      <c r="T51" s="58"/>
      <c r="U51" s="64"/>
    </row>
    <row r="52" spans="1:24" ht="15.75" customHeight="1" thickBot="1" x14ac:dyDescent="0.25">
      <c r="A52" s="2"/>
      <c r="F52" s="67"/>
      <c r="N52" s="47"/>
      <c r="O52" s="48"/>
      <c r="P52" s="44"/>
      <c r="Q52" s="47"/>
      <c r="R52" s="48"/>
      <c r="S52" s="58"/>
      <c r="T52" s="58"/>
      <c r="U52" s="64"/>
    </row>
    <row r="53" spans="1:24" ht="15.75" customHeight="1" thickBot="1" x14ac:dyDescent="0.25">
      <c r="A53" s="2"/>
      <c r="B53" s="16" t="s">
        <v>23</v>
      </c>
      <c r="C53" s="17" t="s">
        <v>0</v>
      </c>
      <c r="D53" s="17" t="s">
        <v>1</v>
      </c>
      <c r="E53" s="18" t="s">
        <v>2</v>
      </c>
      <c r="F53" s="67"/>
      <c r="N53" s="49" t="s">
        <v>33</v>
      </c>
      <c r="O53" s="50">
        <f>SUM(O45:O52)</f>
        <v>0</v>
      </c>
      <c r="P53" s="56"/>
      <c r="Q53" s="49" t="s">
        <v>33</v>
      </c>
      <c r="R53" s="50">
        <f>SUM(R45:R52)</f>
        <v>0</v>
      </c>
      <c r="S53" s="59"/>
      <c r="T53" s="59"/>
      <c r="U53" s="65"/>
    </row>
    <row r="54" spans="1:24" ht="15.75" customHeight="1" thickBot="1" x14ac:dyDescent="0.25">
      <c r="A54" s="2"/>
      <c r="B54" s="22" t="s">
        <v>81</v>
      </c>
      <c r="C54" s="19">
        <v>50</v>
      </c>
      <c r="D54" s="19">
        <f>L72</f>
        <v>0</v>
      </c>
      <c r="E54" s="20">
        <f>Table22549617385971098[Projected Cost]-Table22549617385971098[Actual Cost]</f>
        <v>50</v>
      </c>
      <c r="F54" s="67"/>
    </row>
    <row r="55" spans="1:24" ht="15.75" customHeight="1" thickBot="1" x14ac:dyDescent="0.25">
      <c r="A55" s="2"/>
      <c r="B55" s="22" t="s">
        <v>16</v>
      </c>
      <c r="C55" s="19">
        <v>15</v>
      </c>
      <c r="D55" s="19">
        <f>O71</f>
        <v>0</v>
      </c>
      <c r="E55" s="20">
        <f>Table22549617385971098[Projected Cost]-Table22549617385971098[Actual Cost]</f>
        <v>15</v>
      </c>
      <c r="F55" s="13"/>
      <c r="K55" s="139" t="s">
        <v>75</v>
      </c>
      <c r="L55" s="140"/>
      <c r="M55" s="140"/>
      <c r="N55" s="140"/>
      <c r="O55" s="140"/>
      <c r="P55" s="140"/>
      <c r="Q55" s="140"/>
      <c r="R55" s="140"/>
      <c r="S55" s="140"/>
      <c r="T55" s="140"/>
      <c r="U55" s="140"/>
      <c r="V55" s="140"/>
      <c r="W55" s="140"/>
      <c r="X55" s="141"/>
    </row>
    <row r="56" spans="1:24" ht="15.75" customHeight="1" thickBot="1" x14ac:dyDescent="0.25">
      <c r="A56" s="2"/>
      <c r="B56" s="22" t="s">
        <v>17</v>
      </c>
      <c r="C56" s="19">
        <v>20</v>
      </c>
      <c r="D56" s="19">
        <f>R71</f>
        <v>0</v>
      </c>
      <c r="E56" s="20">
        <f>Table22549617385971098[Projected Cost]-Table22549617385971098[Actual Cost]</f>
        <v>20</v>
      </c>
      <c r="F56" s="13"/>
      <c r="K56" s="148" t="s">
        <v>12</v>
      </c>
      <c r="L56" s="149"/>
      <c r="M56" s="44"/>
      <c r="N56" s="148" t="s">
        <v>71</v>
      </c>
      <c r="O56" s="149"/>
      <c r="P56" s="44"/>
      <c r="Q56" s="142" t="s">
        <v>13</v>
      </c>
      <c r="R56" s="143"/>
      <c r="S56" s="44"/>
      <c r="T56" s="148" t="s">
        <v>49</v>
      </c>
      <c r="U56" s="149"/>
      <c r="V56" s="44"/>
      <c r="W56" s="142" t="s">
        <v>6</v>
      </c>
      <c r="X56" s="143"/>
    </row>
    <row r="57" spans="1:24" ht="15.75" customHeight="1" thickBot="1" x14ac:dyDescent="0.25">
      <c r="A57" s="2"/>
      <c r="B57" s="22" t="s">
        <v>21</v>
      </c>
      <c r="C57" s="19">
        <v>0</v>
      </c>
      <c r="D57" s="19">
        <f>U71</f>
        <v>0</v>
      </c>
      <c r="E57" s="20">
        <f>Table22549617385971098[Projected Cost]-Table22549617385971098[Actual Cost]</f>
        <v>0</v>
      </c>
      <c r="F57" s="13"/>
      <c r="K57" s="45" t="s">
        <v>38</v>
      </c>
      <c r="L57" s="46" t="s">
        <v>46</v>
      </c>
      <c r="M57" s="44"/>
      <c r="N57" s="45" t="s">
        <v>38</v>
      </c>
      <c r="O57" s="46" t="s">
        <v>46</v>
      </c>
      <c r="P57" s="44"/>
      <c r="Q57" s="45" t="s">
        <v>38</v>
      </c>
      <c r="R57" s="46" t="s">
        <v>46</v>
      </c>
      <c r="S57" s="44"/>
      <c r="T57" s="45" t="s">
        <v>38</v>
      </c>
      <c r="U57" s="46" t="s">
        <v>46</v>
      </c>
      <c r="V57" s="44"/>
      <c r="W57" s="45" t="s">
        <v>38</v>
      </c>
      <c r="X57" s="46" t="s">
        <v>46</v>
      </c>
    </row>
    <row r="58" spans="1:24" ht="15.75" customHeight="1" x14ac:dyDescent="0.2">
      <c r="A58" s="2"/>
      <c r="B58" s="22" t="s">
        <v>6</v>
      </c>
      <c r="C58" s="19">
        <v>100</v>
      </c>
      <c r="D58" s="19">
        <f>X75</f>
        <v>0</v>
      </c>
      <c r="E58" s="20">
        <f>Table22549617385971098[Projected Cost]-Table22549617385971098[Actual Cost]</f>
        <v>100</v>
      </c>
      <c r="F58" s="13"/>
      <c r="K58" s="47" t="s">
        <v>82</v>
      </c>
      <c r="L58" s="48"/>
      <c r="M58" s="44"/>
      <c r="N58" s="47" t="s">
        <v>73</v>
      </c>
      <c r="O58" s="48"/>
      <c r="P58" s="44"/>
      <c r="Q58" s="47" t="s">
        <v>74</v>
      </c>
      <c r="R58" s="48"/>
      <c r="S58" s="44"/>
      <c r="T58" s="47" t="s">
        <v>49</v>
      </c>
      <c r="U58" s="48"/>
      <c r="V58" s="44"/>
      <c r="W58" s="47"/>
      <c r="X58" s="48"/>
    </row>
    <row r="59" spans="1:24" ht="15.75" customHeight="1" thickBot="1" x14ac:dyDescent="0.25">
      <c r="A59" s="2"/>
      <c r="B59" s="16" t="s">
        <v>33</v>
      </c>
      <c r="C59" s="77">
        <f>SUBTOTAL(109,Table22549617385971098[Projected Cost])</f>
        <v>185</v>
      </c>
      <c r="D59" s="19">
        <f>SUBTOTAL(109,Table22549617385971098[Actual Cost])</f>
        <v>0</v>
      </c>
      <c r="E59" s="21">
        <f>SUBTOTAL(109,Table22549617385971098[Difference])</f>
        <v>185</v>
      </c>
      <c r="F59" s="13"/>
      <c r="K59" s="47"/>
      <c r="L59" s="48"/>
      <c r="M59" s="44"/>
      <c r="N59" s="47"/>
      <c r="O59" s="48"/>
      <c r="P59" s="44"/>
      <c r="Q59" s="47"/>
      <c r="R59" s="48"/>
      <c r="S59" s="44"/>
      <c r="T59" s="47"/>
      <c r="U59" s="48"/>
      <c r="V59" s="44"/>
      <c r="W59" s="47"/>
      <c r="X59" s="48"/>
    </row>
    <row r="60" spans="1:24" ht="15.75" customHeight="1" thickBot="1" x14ac:dyDescent="0.25">
      <c r="A60" s="2"/>
      <c r="F60" s="13"/>
      <c r="K60" s="47"/>
      <c r="L60" s="48"/>
      <c r="M60" s="44"/>
      <c r="N60" s="49" t="s">
        <v>33</v>
      </c>
      <c r="O60" s="50">
        <f>SUM(O58:O59)</f>
        <v>0</v>
      </c>
      <c r="P60" s="44"/>
      <c r="Q60" s="47"/>
      <c r="R60" s="48"/>
      <c r="S60" s="44"/>
      <c r="T60" s="49" t="s">
        <v>33</v>
      </c>
      <c r="U60" s="50">
        <f>SUM(U58:U59)</f>
        <v>0</v>
      </c>
      <c r="V60" s="44"/>
      <c r="W60" s="47"/>
      <c r="X60" s="48"/>
    </row>
    <row r="61" spans="1:24" ht="15.75" customHeight="1" thickBot="1" x14ac:dyDescent="0.25">
      <c r="A61" s="2"/>
      <c r="F61" s="13"/>
      <c r="K61" s="49" t="s">
        <v>33</v>
      </c>
      <c r="L61" s="50">
        <f>SUM(L58:L60)</f>
        <v>0</v>
      </c>
      <c r="M61" s="44"/>
      <c r="N61" s="58"/>
      <c r="O61" s="58"/>
      <c r="P61" s="44"/>
      <c r="Q61" s="47"/>
      <c r="R61" s="48"/>
      <c r="S61" s="44"/>
      <c r="T61" s="58"/>
      <c r="U61" s="58"/>
      <c r="V61" s="44"/>
      <c r="W61" s="47"/>
      <c r="X61" s="48"/>
    </row>
    <row r="62" spans="1:24" ht="15.75" customHeight="1" x14ac:dyDescent="0.2">
      <c r="B62" s="102" t="s">
        <v>30</v>
      </c>
      <c r="C62" s="102"/>
      <c r="D62" s="102"/>
      <c r="E62" s="117">
        <f>SUM(C17,C25,C33,C37,C43,C51,C59)</f>
        <v>1090</v>
      </c>
      <c r="K62" s="62"/>
      <c r="L62" s="58"/>
      <c r="M62" s="44"/>
      <c r="N62" s="58"/>
      <c r="O62" s="58"/>
      <c r="P62" s="44"/>
      <c r="Q62" s="47"/>
      <c r="R62" s="48"/>
      <c r="S62" s="44"/>
      <c r="T62" s="58"/>
      <c r="U62" s="58"/>
      <c r="V62" s="44"/>
      <c r="W62" s="47"/>
      <c r="X62" s="48"/>
    </row>
    <row r="63" spans="1:24" ht="13.5" thickBot="1" x14ac:dyDescent="0.25">
      <c r="B63" s="102"/>
      <c r="C63" s="102"/>
      <c r="D63" s="102"/>
      <c r="E63" s="117"/>
      <c r="J63" s="58"/>
      <c r="K63" s="62"/>
      <c r="L63" s="58"/>
      <c r="M63" s="44"/>
      <c r="N63" s="58"/>
      <c r="O63" s="58"/>
      <c r="P63" s="44"/>
      <c r="Q63" s="47"/>
      <c r="R63" s="48"/>
      <c r="S63" s="44"/>
      <c r="T63" s="58"/>
      <c r="U63" s="58"/>
      <c r="V63" s="44"/>
      <c r="W63" s="47"/>
      <c r="X63" s="48"/>
    </row>
    <row r="64" spans="1:24" ht="13.5" thickBot="1" x14ac:dyDescent="0.25">
      <c r="B64" s="102" t="s">
        <v>31</v>
      </c>
      <c r="C64" s="102"/>
      <c r="D64" s="102"/>
      <c r="E64" s="117">
        <f>SUM(D17,D25,D33,D37,D43,D51,D59)</f>
        <v>0</v>
      </c>
      <c r="J64" s="58"/>
      <c r="K64" s="63"/>
      <c r="L64" s="59"/>
      <c r="M64" s="56"/>
      <c r="N64" s="59"/>
      <c r="O64" s="59"/>
      <c r="P64" s="56"/>
      <c r="Q64" s="49" t="s">
        <v>33</v>
      </c>
      <c r="R64" s="50">
        <f>SUM(R58:R63)</f>
        <v>0</v>
      </c>
      <c r="S64" s="56"/>
      <c r="T64" s="59"/>
      <c r="U64" s="59"/>
      <c r="V64" s="56"/>
      <c r="W64" s="49" t="s">
        <v>33</v>
      </c>
      <c r="X64" s="50">
        <f>SUM(X58:X63)</f>
        <v>0</v>
      </c>
    </row>
    <row r="65" spans="2:24" ht="13.5" thickBot="1" x14ac:dyDescent="0.25">
      <c r="B65" s="102"/>
      <c r="C65" s="102"/>
      <c r="D65" s="102"/>
      <c r="E65" s="117"/>
      <c r="J65" s="58"/>
      <c r="K65" s="58"/>
      <c r="L65" s="58"/>
      <c r="M65" s="58"/>
      <c r="N65" s="58"/>
      <c r="O65" s="58"/>
      <c r="P65" s="58"/>
      <c r="S65" s="58"/>
      <c r="T65" s="58"/>
      <c r="U65" s="58"/>
      <c r="V65" s="58"/>
    </row>
    <row r="66" spans="2:24" ht="13.5" thickBot="1" x14ac:dyDescent="0.25">
      <c r="B66" s="102" t="s">
        <v>32</v>
      </c>
      <c r="C66" s="102"/>
      <c r="D66" s="102"/>
      <c r="E66" s="117">
        <f>SUM(E17,E25,E33,E37,E43,E51,E59)</f>
        <v>1090</v>
      </c>
      <c r="J66" s="58"/>
      <c r="K66" s="139" t="s">
        <v>76</v>
      </c>
      <c r="L66" s="140"/>
      <c r="M66" s="140"/>
      <c r="N66" s="140"/>
      <c r="O66" s="140"/>
      <c r="P66" s="140"/>
      <c r="Q66" s="140"/>
      <c r="R66" s="140"/>
      <c r="S66" s="140"/>
      <c r="T66" s="140"/>
      <c r="U66" s="140"/>
      <c r="V66" s="140"/>
      <c r="W66" s="140"/>
      <c r="X66" s="141"/>
    </row>
    <row r="67" spans="2:24" ht="13.5" thickBot="1" x14ac:dyDescent="0.25">
      <c r="B67" s="102"/>
      <c r="C67" s="102"/>
      <c r="D67" s="102"/>
      <c r="E67" s="117"/>
      <c r="J67" s="58"/>
      <c r="K67" s="148" t="s">
        <v>41</v>
      </c>
      <c r="L67" s="149"/>
      <c r="M67" s="44"/>
      <c r="N67" s="148" t="s">
        <v>16</v>
      </c>
      <c r="O67" s="149"/>
      <c r="P67" s="44"/>
      <c r="Q67" s="142" t="s">
        <v>17</v>
      </c>
      <c r="R67" s="143"/>
      <c r="S67" s="44"/>
      <c r="T67" s="148" t="s">
        <v>77</v>
      </c>
      <c r="U67" s="149"/>
      <c r="V67" s="44"/>
      <c r="W67" s="142" t="s">
        <v>6</v>
      </c>
      <c r="X67" s="143"/>
    </row>
    <row r="68" spans="2:24" ht="13.5" thickBot="1" x14ac:dyDescent="0.25">
      <c r="J68" s="58"/>
      <c r="K68" s="45" t="s">
        <v>38</v>
      </c>
      <c r="L68" s="46" t="s">
        <v>46</v>
      </c>
      <c r="M68" s="44"/>
      <c r="N68" s="45" t="s">
        <v>38</v>
      </c>
      <c r="O68" s="46" t="s">
        <v>46</v>
      </c>
      <c r="P68" s="44"/>
      <c r="Q68" s="45" t="s">
        <v>38</v>
      </c>
      <c r="R68" s="46" t="s">
        <v>46</v>
      </c>
      <c r="S68" s="44"/>
      <c r="T68" s="45" t="s">
        <v>38</v>
      </c>
      <c r="U68" s="46" t="s">
        <v>46</v>
      </c>
      <c r="V68" s="44"/>
      <c r="W68" s="45" t="s">
        <v>38</v>
      </c>
      <c r="X68" s="46" t="s">
        <v>46</v>
      </c>
    </row>
    <row r="69" spans="2:24" x14ac:dyDescent="0.2">
      <c r="J69" s="58"/>
      <c r="K69" s="47" t="s">
        <v>72</v>
      </c>
      <c r="L69" s="48"/>
      <c r="M69" s="44"/>
      <c r="N69" s="47" t="s">
        <v>43</v>
      </c>
      <c r="O69" s="48"/>
      <c r="P69" s="44"/>
      <c r="Q69" s="47" t="s">
        <v>78</v>
      </c>
      <c r="R69" s="48"/>
      <c r="S69" s="44"/>
      <c r="T69" s="47" t="s">
        <v>79</v>
      </c>
      <c r="U69" s="48"/>
      <c r="V69" s="44"/>
      <c r="W69" s="47"/>
      <c r="X69" s="48"/>
    </row>
    <row r="70" spans="2:24" ht="13.5" thickBot="1" x14ac:dyDescent="0.25">
      <c r="K70" s="47"/>
      <c r="L70" s="48"/>
      <c r="M70" s="44"/>
      <c r="N70" s="47"/>
      <c r="O70" s="48"/>
      <c r="P70" s="44"/>
      <c r="Q70" s="47"/>
      <c r="R70" s="48"/>
      <c r="S70" s="44"/>
      <c r="T70" s="47"/>
      <c r="U70" s="48"/>
      <c r="V70" s="44"/>
      <c r="W70" s="47"/>
      <c r="X70" s="48"/>
    </row>
    <row r="71" spans="2:24" ht="13.5" thickBot="1" x14ac:dyDescent="0.25">
      <c r="K71" s="47"/>
      <c r="L71" s="48"/>
      <c r="M71" s="44"/>
      <c r="N71" s="49" t="s">
        <v>33</v>
      </c>
      <c r="O71" s="50">
        <f>SUM(O69:O70)</f>
        <v>0</v>
      </c>
      <c r="P71" s="44"/>
      <c r="Q71" s="49" t="s">
        <v>33</v>
      </c>
      <c r="R71" s="50">
        <f>SUM(R69:R70)</f>
        <v>0</v>
      </c>
      <c r="S71" s="44"/>
      <c r="T71" s="49" t="s">
        <v>33</v>
      </c>
      <c r="U71" s="50">
        <f>SUM(U69:U70)</f>
        <v>0</v>
      </c>
      <c r="V71" s="44"/>
      <c r="W71" s="47"/>
      <c r="X71" s="48"/>
    </row>
    <row r="72" spans="2:24" ht="13.5" thickBot="1" x14ac:dyDescent="0.25">
      <c r="K72" s="49" t="s">
        <v>33</v>
      </c>
      <c r="L72" s="50">
        <f>SUM(L69:L71)</f>
        <v>0</v>
      </c>
      <c r="M72" s="44"/>
      <c r="N72" s="58"/>
      <c r="O72" s="58"/>
      <c r="P72" s="44"/>
      <c r="Q72" s="58"/>
      <c r="R72" s="58"/>
      <c r="S72" s="44"/>
      <c r="T72" s="58"/>
      <c r="U72" s="58"/>
      <c r="V72" s="44"/>
      <c r="W72" s="47"/>
      <c r="X72" s="48"/>
    </row>
    <row r="73" spans="2:24" x14ac:dyDescent="0.2">
      <c r="K73" s="62"/>
      <c r="L73" s="58"/>
      <c r="M73" s="44"/>
      <c r="N73" s="58"/>
      <c r="O73" s="58"/>
      <c r="P73" s="44"/>
      <c r="Q73" s="58"/>
      <c r="R73" s="58"/>
      <c r="S73" s="44"/>
      <c r="T73" s="58"/>
      <c r="U73" s="58"/>
      <c r="V73" s="44"/>
      <c r="W73" s="47"/>
      <c r="X73" s="48"/>
    </row>
    <row r="74" spans="2:24" ht="13.5" thickBot="1" x14ac:dyDescent="0.25">
      <c r="K74" s="62"/>
      <c r="L74" s="58"/>
      <c r="M74" s="44"/>
      <c r="N74" s="58"/>
      <c r="O74" s="58"/>
      <c r="P74" s="44"/>
      <c r="Q74" s="58"/>
      <c r="R74" s="58"/>
      <c r="S74" s="44"/>
      <c r="T74" s="58"/>
      <c r="U74" s="58"/>
      <c r="V74" s="44"/>
      <c r="W74" s="47"/>
      <c r="X74" s="48"/>
    </row>
    <row r="75" spans="2:24" ht="13.5" thickBot="1" x14ac:dyDescent="0.25">
      <c r="K75" s="63"/>
      <c r="L75" s="59"/>
      <c r="M75" s="56"/>
      <c r="N75" s="59"/>
      <c r="O75" s="59"/>
      <c r="P75" s="56"/>
      <c r="Q75" s="59"/>
      <c r="R75" s="59"/>
      <c r="S75" s="56"/>
      <c r="T75" s="59"/>
      <c r="U75" s="59"/>
      <c r="V75" s="56"/>
      <c r="W75" s="49" t="s">
        <v>33</v>
      </c>
      <c r="X75" s="50">
        <f>SUM(X69:X74)</f>
        <v>0</v>
      </c>
    </row>
  </sheetData>
  <mergeCells count="64">
    <mergeCell ref="K66:X66"/>
    <mergeCell ref="K67:L67"/>
    <mergeCell ref="N67:O67"/>
    <mergeCell ref="Q67:R67"/>
    <mergeCell ref="T67:U67"/>
    <mergeCell ref="W67:X67"/>
    <mergeCell ref="B62:D63"/>
    <mergeCell ref="E62:E63"/>
    <mergeCell ref="B64:D65"/>
    <mergeCell ref="E64:E65"/>
    <mergeCell ref="B66:D67"/>
    <mergeCell ref="E66:E67"/>
    <mergeCell ref="B44:E44"/>
    <mergeCell ref="K55:X55"/>
    <mergeCell ref="K56:L56"/>
    <mergeCell ref="N56:O56"/>
    <mergeCell ref="Q56:R56"/>
    <mergeCell ref="T56:U56"/>
    <mergeCell ref="W56:X56"/>
    <mergeCell ref="B34:E34"/>
    <mergeCell ref="B38:E38"/>
    <mergeCell ref="K42:L42"/>
    <mergeCell ref="N42:U42"/>
    <mergeCell ref="N43:O43"/>
    <mergeCell ref="Q43:R43"/>
    <mergeCell ref="T43:U43"/>
    <mergeCell ref="B26:E26"/>
    <mergeCell ref="K31:X31"/>
    <mergeCell ref="K32:L32"/>
    <mergeCell ref="N32:O32"/>
    <mergeCell ref="Q32:R32"/>
    <mergeCell ref="T32:U32"/>
    <mergeCell ref="W32:X32"/>
    <mergeCell ref="K24:X24"/>
    <mergeCell ref="K25:L25"/>
    <mergeCell ref="N25:O25"/>
    <mergeCell ref="Q25:R25"/>
    <mergeCell ref="T25:U25"/>
    <mergeCell ref="W25:X25"/>
    <mergeCell ref="H11:I11"/>
    <mergeCell ref="K11:X11"/>
    <mergeCell ref="K12:L12"/>
    <mergeCell ref="N12:O12"/>
    <mergeCell ref="Q12:R12"/>
    <mergeCell ref="T12:U12"/>
    <mergeCell ref="W12:X12"/>
    <mergeCell ref="B7:B9"/>
    <mergeCell ref="C7:D7"/>
    <mergeCell ref="C8:D8"/>
    <mergeCell ref="G8:K9"/>
    <mergeCell ref="L8:L9"/>
    <mergeCell ref="C9:D9"/>
    <mergeCell ref="Q5:R5"/>
    <mergeCell ref="T5:U5"/>
    <mergeCell ref="W5:X5"/>
    <mergeCell ref="C6:D6"/>
    <mergeCell ref="G6:K7"/>
    <mergeCell ref="L6:L7"/>
    <mergeCell ref="B3:D3"/>
    <mergeCell ref="B4:B6"/>
    <mergeCell ref="C4:D4"/>
    <mergeCell ref="G4:K5"/>
    <mergeCell ref="L4:L5"/>
    <mergeCell ref="C5:D5"/>
  </mergeCells>
  <conditionalFormatting sqref="E54:E59 E28:E33 E20:E25 E36:E37 E40:E43 E46:E51">
    <cfRule type="iconSet" priority="2">
      <iconSet iconSet="3Signs">
        <cfvo type="percent" val="0"/>
        <cfvo type="num" val="-20"/>
        <cfvo type="num" val="0"/>
      </iconSet>
    </cfRule>
  </conditionalFormatting>
  <conditionalFormatting sqref="E12:E18">
    <cfRule type="iconSet" priority="1">
      <iconSet iconSet="3Signs">
        <cfvo type="percent" val="0"/>
        <cfvo type="num" val="-20"/>
        <cfvo type="num" val="0"/>
      </iconSet>
    </cfRule>
  </conditionalFormatting>
  <pageMargins left="0.5" right="0.5" top="0.5" bottom="0.5" header="0.5" footer="0.5"/>
  <pageSetup orientation="portrait" r:id="rId1"/>
  <headerFooter alignWithMargins="0"/>
  <ignoredErrors>
    <ignoredError sqref="D28:D32 D40:D42 D46:D50" calculatedColumn="1"/>
  </ignoredErrors>
  <drawing r:id="rId2"/>
  <tableParts count="7">
    <tablePart r:id="rId3"/>
    <tablePart r:id="rId4"/>
    <tablePart r:id="rId5"/>
    <tablePart r:id="rId6"/>
    <tablePart r:id="rId7"/>
    <tablePart r:id="rId8"/>
    <tablePart r:id="rId9"/>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F75"/>
  <sheetViews>
    <sheetView showGridLines="0" workbookViewId="0">
      <pane ySplit="2" topLeftCell="A3" activePane="bottomLeft" state="frozen"/>
      <selection pane="bottomLeft" activeCell="K12" sqref="K12:L12"/>
    </sheetView>
  </sheetViews>
  <sheetFormatPr defaultColWidth="8.7109375" defaultRowHeight="12.75" x14ac:dyDescent="0.2"/>
  <cols>
    <col min="1" max="1" width="1.5703125" customWidth="1"/>
    <col min="2" max="2" width="32.28515625" customWidth="1"/>
    <col min="3" max="3" width="16.42578125" customWidth="1"/>
    <col min="4" max="4" width="13.42578125" customWidth="1"/>
    <col min="5" max="5" width="12.42578125" customWidth="1"/>
    <col min="6" max="6" width="2" customWidth="1"/>
    <col min="7" max="7" width="5.7109375" customWidth="1"/>
    <col min="8" max="8" width="11.42578125" bestFit="1" customWidth="1"/>
    <col min="9" max="9" width="7.42578125" bestFit="1" customWidth="1"/>
    <col min="10" max="10" width="6.5703125" customWidth="1"/>
    <col min="11" max="11" width="13.42578125" customWidth="1"/>
    <col min="12" max="12" width="12.42578125" customWidth="1"/>
    <col min="13" max="13" width="3.28515625" customWidth="1"/>
    <col min="14" max="14" width="11.5703125" bestFit="1" customWidth="1"/>
    <col min="15" max="15" width="7.42578125" bestFit="1" customWidth="1"/>
    <col min="16" max="16" width="2.7109375" customWidth="1"/>
    <col min="17" max="17" width="9.5703125" bestFit="1" customWidth="1"/>
    <col min="18" max="18" width="7.42578125" bestFit="1" customWidth="1"/>
    <col min="19" max="19" width="4.28515625" customWidth="1"/>
    <col min="20" max="20" width="11.42578125" bestFit="1" customWidth="1"/>
    <col min="21" max="21" width="7.42578125" bestFit="1" customWidth="1"/>
    <col min="22" max="22" width="3.7109375" customWidth="1"/>
    <col min="23" max="23" width="14.5703125" bestFit="1" customWidth="1"/>
    <col min="24" max="24" width="7.42578125" bestFit="1" customWidth="1"/>
  </cols>
  <sheetData>
    <row r="1" spans="1:32" ht="8.25" customHeight="1" x14ac:dyDescent="0.6">
      <c r="A1" s="3"/>
      <c r="B1" s="1"/>
      <c r="C1" s="1"/>
      <c r="D1" s="1"/>
      <c r="E1" s="1"/>
      <c r="F1" s="1"/>
      <c r="G1" s="1"/>
      <c r="H1" s="1"/>
      <c r="I1" s="1"/>
      <c r="J1" s="1"/>
      <c r="K1" s="1"/>
      <c r="L1" s="2"/>
    </row>
    <row r="2" spans="1:32" ht="52.15" customHeight="1" x14ac:dyDescent="0.2">
      <c r="A2" s="3"/>
      <c r="B2" s="35"/>
      <c r="C2" s="69" t="str">
        <f>("-  November Monthly Budget")</f>
        <v>-  November Monthly Budget</v>
      </c>
      <c r="E2" s="35"/>
      <c r="F2" s="35"/>
      <c r="G2" s="35"/>
      <c r="H2" s="35"/>
      <c r="I2" s="35"/>
      <c r="J2" s="35"/>
      <c r="K2" s="35"/>
      <c r="L2" s="35"/>
    </row>
    <row r="3" spans="1:32" ht="8.25" customHeight="1" x14ac:dyDescent="0.2">
      <c r="A3" s="2"/>
      <c r="B3" s="98"/>
      <c r="C3" s="98"/>
      <c r="D3" s="98"/>
      <c r="E3" s="4"/>
      <c r="F3" s="5"/>
      <c r="G3" s="4"/>
      <c r="H3" s="6"/>
      <c r="I3" s="6"/>
      <c r="J3" s="6"/>
      <c r="K3" s="7"/>
      <c r="L3" s="8"/>
    </row>
    <row r="4" spans="1:32" ht="16.149999999999999" customHeight="1" x14ac:dyDescent="0.2">
      <c r="A4" s="2"/>
      <c r="B4" s="114" t="s">
        <v>29</v>
      </c>
      <c r="C4" s="105" t="s">
        <v>3</v>
      </c>
      <c r="D4" s="106"/>
      <c r="E4" s="15">
        <f>'Starting Page'!I31</f>
        <v>300</v>
      </c>
      <c r="F4" s="5"/>
      <c r="G4" s="102" t="s">
        <v>34</v>
      </c>
      <c r="H4" s="102"/>
      <c r="I4" s="102"/>
      <c r="J4" s="102"/>
      <c r="K4" s="102"/>
      <c r="L4" s="117">
        <f>E6-E62</f>
        <v>-790</v>
      </c>
      <c r="Y4" s="23"/>
      <c r="Z4" s="23"/>
      <c r="AA4" s="23"/>
      <c r="AB4" s="23"/>
      <c r="AC4" s="23"/>
      <c r="AD4" s="23"/>
      <c r="AE4" s="23"/>
      <c r="AF4" s="23"/>
    </row>
    <row r="5" spans="1:32" ht="16.149999999999999" customHeight="1" x14ac:dyDescent="0.2">
      <c r="A5" s="2"/>
      <c r="B5" s="115"/>
      <c r="C5" s="105" t="s">
        <v>18</v>
      </c>
      <c r="D5" s="106"/>
      <c r="E5" s="15"/>
      <c r="F5" s="5"/>
      <c r="G5" s="102"/>
      <c r="H5" s="102"/>
      <c r="I5" s="102"/>
      <c r="J5" s="102"/>
      <c r="K5" s="102"/>
      <c r="L5" s="117"/>
      <c r="Q5" s="99"/>
      <c r="R5" s="99"/>
      <c r="S5" s="44"/>
      <c r="T5" s="99"/>
      <c r="U5" s="99"/>
      <c r="V5" s="44"/>
      <c r="W5" s="99"/>
      <c r="X5" s="99"/>
      <c r="Y5" s="44"/>
      <c r="Z5" s="23"/>
      <c r="AA5" s="23"/>
      <c r="AB5" s="23"/>
      <c r="AC5" s="23"/>
      <c r="AD5" s="23"/>
      <c r="AE5" s="23"/>
      <c r="AF5" s="23"/>
    </row>
    <row r="6" spans="1:32" ht="16.149999999999999" customHeight="1" x14ac:dyDescent="0.2">
      <c r="A6" s="2"/>
      <c r="B6" s="116"/>
      <c r="C6" s="100" t="s">
        <v>19</v>
      </c>
      <c r="D6" s="101"/>
      <c r="E6" s="66">
        <f>SUM(E4:E5)</f>
        <v>300</v>
      </c>
      <c r="F6" s="5"/>
      <c r="G6" s="102" t="s">
        <v>35</v>
      </c>
      <c r="H6" s="102"/>
      <c r="I6" s="102"/>
      <c r="J6" s="102"/>
      <c r="K6" s="102"/>
      <c r="L6" s="117">
        <f>E9-E64</f>
        <v>0</v>
      </c>
      <c r="Q6" s="44"/>
      <c r="R6" s="44"/>
      <c r="S6" s="44"/>
      <c r="T6" s="44"/>
      <c r="U6" s="44"/>
      <c r="V6" s="44"/>
      <c r="W6" s="44"/>
      <c r="X6" s="44"/>
      <c r="Y6" s="44"/>
      <c r="Z6" s="23"/>
      <c r="AA6" s="23"/>
      <c r="AB6" s="23"/>
      <c r="AC6" s="23"/>
      <c r="AD6" s="23"/>
      <c r="AE6" s="23"/>
      <c r="AF6" s="23"/>
    </row>
    <row r="7" spans="1:32" ht="16.149999999999999" customHeight="1" x14ac:dyDescent="0.2">
      <c r="A7" s="2"/>
      <c r="B7" s="114" t="s">
        <v>28</v>
      </c>
      <c r="C7" s="105" t="s">
        <v>3</v>
      </c>
      <c r="D7" s="106"/>
      <c r="E7" s="15">
        <f>I23</f>
        <v>0</v>
      </c>
      <c r="F7" s="5"/>
      <c r="G7" s="102"/>
      <c r="H7" s="102"/>
      <c r="I7" s="102"/>
      <c r="J7" s="102"/>
      <c r="K7" s="102"/>
      <c r="L7" s="117"/>
      <c r="P7" s="34"/>
      <c r="Q7" s="44"/>
      <c r="R7" s="44"/>
      <c r="S7" s="44"/>
      <c r="T7" s="44"/>
      <c r="U7" s="44"/>
      <c r="V7" s="44"/>
      <c r="W7" s="44"/>
      <c r="X7" s="44"/>
      <c r="Y7" s="44"/>
    </row>
    <row r="8" spans="1:32" ht="16.149999999999999" customHeight="1" x14ac:dyDescent="0.2">
      <c r="A8" s="2"/>
      <c r="B8" s="115"/>
      <c r="C8" s="105" t="s">
        <v>18</v>
      </c>
      <c r="D8" s="106"/>
      <c r="E8" s="15"/>
      <c r="F8" s="5"/>
      <c r="G8" s="102" t="s">
        <v>36</v>
      </c>
      <c r="H8" s="102"/>
      <c r="I8" s="102"/>
      <c r="J8" s="102"/>
      <c r="K8" s="102"/>
      <c r="L8" s="117">
        <f>L6-L4</f>
        <v>790</v>
      </c>
      <c r="Q8" s="44"/>
      <c r="R8" s="44"/>
      <c r="S8" s="44"/>
      <c r="T8" s="44"/>
      <c r="U8" s="44"/>
      <c r="V8" s="44"/>
      <c r="W8" s="44"/>
      <c r="X8" s="44"/>
      <c r="Y8" s="44"/>
    </row>
    <row r="9" spans="1:32" ht="16.149999999999999" customHeight="1" x14ac:dyDescent="0.2">
      <c r="A9" s="2"/>
      <c r="B9" s="116"/>
      <c r="C9" s="100" t="s">
        <v>19</v>
      </c>
      <c r="D9" s="101"/>
      <c r="E9" s="66">
        <f>SUM(E7:E8)</f>
        <v>0</v>
      </c>
      <c r="F9" s="5"/>
      <c r="G9" s="102"/>
      <c r="H9" s="102"/>
      <c r="I9" s="102"/>
      <c r="J9" s="102"/>
      <c r="K9" s="102"/>
      <c r="L9" s="117"/>
      <c r="Q9" s="60"/>
      <c r="R9" s="61"/>
      <c r="S9" s="44"/>
      <c r="T9" s="60"/>
      <c r="U9" s="61"/>
      <c r="V9" s="44"/>
      <c r="W9" s="60"/>
      <c r="X9" s="61"/>
      <c r="Y9" s="44"/>
    </row>
    <row r="10" spans="1:32" ht="16.149999999999999" customHeight="1" thickBot="1" x14ac:dyDescent="0.25">
      <c r="A10" s="2"/>
      <c r="B10" s="68"/>
      <c r="C10" s="68"/>
      <c r="D10" s="9"/>
      <c r="E10" s="10"/>
      <c r="F10" s="5"/>
      <c r="G10" s="11"/>
      <c r="H10" s="11"/>
      <c r="I10" s="11"/>
      <c r="J10" s="11"/>
      <c r="K10" s="11"/>
      <c r="L10" s="12"/>
      <c r="R10" s="23"/>
    </row>
    <row r="11" spans="1:32" ht="16.149999999999999" customHeight="1" thickBot="1" x14ac:dyDescent="0.25">
      <c r="A11" s="2"/>
      <c r="B11" s="16" t="s">
        <v>80</v>
      </c>
      <c r="C11" s="17" t="s">
        <v>0</v>
      </c>
      <c r="D11" s="17" t="s">
        <v>1</v>
      </c>
      <c r="E11" s="18" t="s">
        <v>2</v>
      </c>
      <c r="F11" s="5"/>
      <c r="G11" s="11"/>
      <c r="H11" s="92" t="s">
        <v>42</v>
      </c>
      <c r="I11" s="94"/>
      <c r="J11" s="11"/>
      <c r="K11" s="139" t="s">
        <v>104</v>
      </c>
      <c r="L11" s="140"/>
      <c r="M11" s="140"/>
      <c r="N11" s="140"/>
      <c r="O11" s="140"/>
      <c r="P11" s="140"/>
      <c r="Q11" s="140"/>
      <c r="R11" s="140"/>
      <c r="S11" s="140"/>
      <c r="T11" s="140"/>
      <c r="U11" s="140"/>
      <c r="V11" s="140"/>
      <c r="W11" s="140"/>
      <c r="X11" s="141"/>
    </row>
    <row r="12" spans="1:32" ht="16.149999999999999" customHeight="1" thickBot="1" x14ac:dyDescent="0.25">
      <c r="A12" s="2"/>
      <c r="B12" s="22" t="s">
        <v>50</v>
      </c>
      <c r="C12" s="19">
        <v>0</v>
      </c>
      <c r="D12" s="19">
        <f>L16</f>
        <v>0</v>
      </c>
      <c r="E12" s="20">
        <f>Table1143850627486982916[Projected Cost]-Table1143850627486982916[Actual Cost]</f>
        <v>0</v>
      </c>
      <c r="F12" s="5"/>
      <c r="H12" s="24" t="s">
        <v>38</v>
      </c>
      <c r="I12" s="25" t="s">
        <v>46</v>
      </c>
      <c r="J12" s="41"/>
      <c r="K12" s="148" t="s">
        <v>50</v>
      </c>
      <c r="L12" s="149"/>
      <c r="M12" s="44"/>
      <c r="N12" s="148" t="s">
        <v>51</v>
      </c>
      <c r="O12" s="149"/>
      <c r="P12" s="44"/>
      <c r="Q12" s="150" t="s">
        <v>54</v>
      </c>
      <c r="R12" s="151"/>
      <c r="S12" s="44"/>
      <c r="T12" s="148" t="s">
        <v>5</v>
      </c>
      <c r="U12" s="149"/>
      <c r="V12" s="44"/>
      <c r="W12" s="148" t="s">
        <v>6</v>
      </c>
      <c r="X12" s="149"/>
    </row>
    <row r="13" spans="1:32" ht="16.149999999999999" customHeight="1" thickBot="1" x14ac:dyDescent="0.25">
      <c r="A13" s="2"/>
      <c r="B13" s="22" t="s">
        <v>51</v>
      </c>
      <c r="C13" s="19">
        <v>0</v>
      </c>
      <c r="D13" s="19">
        <f>O16</f>
        <v>0</v>
      </c>
      <c r="E13" s="20">
        <f>Table1143850627486982916[Projected Cost]-Table1143850627486982916[Actual Cost]</f>
        <v>0</v>
      </c>
      <c r="F13" s="5"/>
      <c r="H13" s="26" t="s">
        <v>44</v>
      </c>
      <c r="I13" s="27"/>
      <c r="J13" s="42"/>
      <c r="K13" s="45" t="s">
        <v>38</v>
      </c>
      <c r="L13" s="46" t="s">
        <v>46</v>
      </c>
      <c r="M13" s="44"/>
      <c r="N13" s="45" t="s">
        <v>38</v>
      </c>
      <c r="O13" s="46" t="s">
        <v>46</v>
      </c>
      <c r="P13" s="44"/>
      <c r="Q13" s="45" t="s">
        <v>38</v>
      </c>
      <c r="R13" s="46" t="s">
        <v>46</v>
      </c>
      <c r="S13" s="44"/>
      <c r="T13" s="45" t="s">
        <v>38</v>
      </c>
      <c r="U13" s="46" t="s">
        <v>46</v>
      </c>
      <c r="V13" s="44"/>
      <c r="W13" s="45" t="s">
        <v>38</v>
      </c>
      <c r="X13" s="46" t="s">
        <v>46</v>
      </c>
    </row>
    <row r="14" spans="1:32" ht="16.149999999999999" customHeight="1" x14ac:dyDescent="0.2">
      <c r="A14" s="2"/>
      <c r="B14" s="22" t="s">
        <v>52</v>
      </c>
      <c r="C14" s="19">
        <v>0</v>
      </c>
      <c r="D14" s="19">
        <f>R22</f>
        <v>0</v>
      </c>
      <c r="E14" s="20">
        <f>Table1143850627486982916[Projected Cost]-Table1143850627486982916[Actual Cost]</f>
        <v>0</v>
      </c>
      <c r="F14" s="5"/>
      <c r="H14" s="26"/>
      <c r="I14" s="27"/>
      <c r="J14" s="42"/>
      <c r="K14" s="47" t="s">
        <v>53</v>
      </c>
      <c r="L14" s="48"/>
      <c r="M14" s="44"/>
      <c r="N14" s="47" t="s">
        <v>56</v>
      </c>
      <c r="O14" s="48"/>
      <c r="P14" s="44"/>
      <c r="Q14" s="47" t="s">
        <v>55</v>
      </c>
      <c r="R14" s="48"/>
      <c r="S14" s="44"/>
      <c r="T14" s="47" t="s">
        <v>57</v>
      </c>
      <c r="U14" s="48"/>
      <c r="V14" s="44"/>
      <c r="W14" s="47"/>
      <c r="X14" s="48"/>
    </row>
    <row r="15" spans="1:32" ht="16.149999999999999" customHeight="1" thickBot="1" x14ac:dyDescent="0.25">
      <c r="A15" s="2"/>
      <c r="B15" s="22" t="s">
        <v>5</v>
      </c>
      <c r="C15" s="19">
        <v>50</v>
      </c>
      <c r="D15" s="19">
        <f>U22</f>
        <v>0</v>
      </c>
      <c r="E15" s="20">
        <f>Table1143850627486982916[Projected Cost]-Table1143850627486982916[Actual Cost]</f>
        <v>50</v>
      </c>
      <c r="F15" s="5"/>
      <c r="H15" s="26"/>
      <c r="I15" s="27"/>
      <c r="J15" s="42"/>
      <c r="K15" s="47"/>
      <c r="L15" s="48"/>
      <c r="M15" s="44"/>
      <c r="N15" s="47"/>
      <c r="O15" s="48"/>
      <c r="P15" s="44"/>
      <c r="Q15" s="47"/>
      <c r="R15" s="48"/>
      <c r="S15" s="44"/>
      <c r="T15" s="47"/>
      <c r="U15" s="48"/>
      <c r="V15" s="44"/>
      <c r="W15" s="47"/>
      <c r="X15" s="48"/>
    </row>
    <row r="16" spans="1:32" ht="16.149999999999999" customHeight="1" thickBot="1" x14ac:dyDescent="0.25">
      <c r="A16" s="2"/>
      <c r="B16" s="22" t="s">
        <v>6</v>
      </c>
      <c r="C16" s="19">
        <v>50</v>
      </c>
      <c r="D16" s="19">
        <f>X18</f>
        <v>0</v>
      </c>
      <c r="E16" s="20">
        <f>Table1143850627486982916[Projected Cost]-Table1143850627486982916[Actual Cost]</f>
        <v>50</v>
      </c>
      <c r="F16" s="5"/>
      <c r="H16" s="26"/>
      <c r="I16" s="27"/>
      <c r="J16" s="42"/>
      <c r="K16" s="49" t="s">
        <v>33</v>
      </c>
      <c r="L16" s="50">
        <f>SUM(L14:L15)</f>
        <v>0</v>
      </c>
      <c r="M16" s="44"/>
      <c r="N16" s="49" t="s">
        <v>33</v>
      </c>
      <c r="O16" s="50">
        <f>SUM(O14:O15)</f>
        <v>0</v>
      </c>
      <c r="P16" s="44"/>
      <c r="Q16" s="47"/>
      <c r="R16" s="48"/>
      <c r="S16" s="44"/>
      <c r="T16" s="47"/>
      <c r="U16" s="48"/>
      <c r="V16" s="44"/>
      <c r="W16" s="47"/>
      <c r="X16" s="48"/>
    </row>
    <row r="17" spans="1:24" ht="16.149999999999999" customHeight="1" thickBot="1" x14ac:dyDescent="0.25">
      <c r="A17" s="2"/>
      <c r="B17" s="16" t="s">
        <v>33</v>
      </c>
      <c r="C17" s="19">
        <f>SUBTOTAL(109,Table1143850627486982916[Projected Cost])</f>
        <v>100</v>
      </c>
      <c r="D17" s="19">
        <f>SUBTOTAL(109,Table1143850627486982916[Actual Cost])</f>
        <v>0</v>
      </c>
      <c r="E17" s="21">
        <f>SUBTOTAL(109,Table1143850627486982916[Difference])</f>
        <v>100</v>
      </c>
      <c r="F17" s="5"/>
      <c r="H17" s="28"/>
      <c r="I17" s="29"/>
      <c r="J17" s="42"/>
      <c r="K17" s="51"/>
      <c r="L17" s="44"/>
      <c r="M17" s="44"/>
      <c r="N17" s="44"/>
      <c r="O17" s="44"/>
      <c r="P17" s="44"/>
      <c r="Q17" s="47"/>
      <c r="R17" s="48"/>
      <c r="S17" s="44"/>
      <c r="T17" s="47"/>
      <c r="U17" s="48"/>
      <c r="V17" s="44"/>
      <c r="W17" s="47"/>
      <c r="X17" s="48"/>
    </row>
    <row r="18" spans="1:24" ht="16.149999999999999" customHeight="1" thickBot="1" x14ac:dyDescent="0.25">
      <c r="A18" s="2"/>
      <c r="B18" s="16"/>
      <c r="C18" s="19"/>
      <c r="D18" s="19"/>
      <c r="E18" s="21"/>
      <c r="F18" s="5"/>
      <c r="H18" s="28"/>
      <c r="I18" s="29"/>
      <c r="J18" s="42"/>
      <c r="K18" s="52"/>
      <c r="L18" s="53"/>
      <c r="M18" s="44"/>
      <c r="N18" s="44"/>
      <c r="O18" s="44"/>
      <c r="P18" s="44"/>
      <c r="Q18" s="47"/>
      <c r="R18" s="48"/>
      <c r="S18" s="44"/>
      <c r="T18" s="47"/>
      <c r="U18" s="48"/>
      <c r="V18" s="44"/>
      <c r="W18" s="49" t="s">
        <v>33</v>
      </c>
      <c r="X18" s="50">
        <f>SUM(X14:X17)</f>
        <v>0</v>
      </c>
    </row>
    <row r="19" spans="1:24" ht="16.149999999999999" customHeight="1" x14ac:dyDescent="0.2">
      <c r="A19" s="2"/>
      <c r="B19" s="16" t="s">
        <v>22</v>
      </c>
      <c r="C19" s="17" t="s">
        <v>0</v>
      </c>
      <c r="D19" s="17" t="s">
        <v>1</v>
      </c>
      <c r="E19" s="18" t="s">
        <v>2</v>
      </c>
      <c r="F19" s="14"/>
      <c r="H19" s="28"/>
      <c r="I19" s="29"/>
      <c r="J19" s="42"/>
      <c r="K19" s="52"/>
      <c r="L19" s="53"/>
      <c r="M19" s="44"/>
      <c r="N19" s="44"/>
      <c r="O19" s="44"/>
      <c r="P19" s="44"/>
      <c r="Q19" s="47"/>
      <c r="R19" s="48"/>
      <c r="S19" s="44"/>
      <c r="T19" s="47"/>
      <c r="U19" s="48"/>
      <c r="V19" s="44"/>
      <c r="W19" s="44"/>
      <c r="X19" s="54"/>
    </row>
    <row r="20" spans="1:24" ht="15.75" customHeight="1" x14ac:dyDescent="0.2">
      <c r="A20" s="2"/>
      <c r="B20" s="22" t="s">
        <v>48</v>
      </c>
      <c r="C20" s="19">
        <f>IF('Starting Page'!I24="Yes",'Starting Page'!I25/8,IF('Starting Page'!I27="Yes",'Starting Page'!I28,0))</f>
        <v>0</v>
      </c>
      <c r="D20" s="19">
        <f>L29</f>
        <v>0</v>
      </c>
      <c r="E20" s="20">
        <f>Table114385062748698310[Projected Cost]-Table114385062748698310[Actual Cost]</f>
        <v>0</v>
      </c>
      <c r="F20" s="67"/>
      <c r="H20" s="28"/>
      <c r="I20" s="29"/>
      <c r="J20" s="42"/>
      <c r="K20" s="51"/>
      <c r="L20" s="44"/>
      <c r="M20" s="44"/>
      <c r="N20" s="44"/>
      <c r="O20" s="44"/>
      <c r="P20" s="44"/>
      <c r="Q20" s="47"/>
      <c r="R20" s="48"/>
      <c r="S20" s="44"/>
      <c r="T20" s="47"/>
      <c r="U20" s="48"/>
      <c r="V20" s="44"/>
      <c r="W20" s="44"/>
      <c r="X20" s="54"/>
    </row>
    <row r="21" spans="1:24" ht="15.75" customHeight="1" thickBot="1" x14ac:dyDescent="0.25">
      <c r="A21" s="2"/>
      <c r="B21" s="22" t="s">
        <v>4</v>
      </c>
      <c r="C21" s="19">
        <v>70</v>
      </c>
      <c r="D21" s="19">
        <f>O29</f>
        <v>0</v>
      </c>
      <c r="E21" s="20">
        <f>Table114385062748698310[Projected Cost]-Table114385062748698310[Actual Cost]</f>
        <v>70</v>
      </c>
      <c r="F21" s="67"/>
      <c r="H21" s="28"/>
      <c r="I21" s="29"/>
      <c r="J21" s="42"/>
      <c r="K21" s="51"/>
      <c r="L21" s="44"/>
      <c r="M21" s="44"/>
      <c r="N21" s="44"/>
      <c r="O21" s="44"/>
      <c r="P21" s="44"/>
      <c r="Q21" s="47"/>
      <c r="R21" s="48"/>
      <c r="S21" s="44"/>
      <c r="T21" s="47"/>
      <c r="U21" s="48"/>
      <c r="V21" s="44"/>
      <c r="W21" s="44"/>
      <c r="X21" s="54"/>
    </row>
    <row r="22" spans="1:24" ht="15.75" customHeight="1" thickBot="1" x14ac:dyDescent="0.25">
      <c r="A22" s="2"/>
      <c r="B22" s="22" t="s">
        <v>47</v>
      </c>
      <c r="C22" s="19">
        <v>20</v>
      </c>
      <c r="D22" s="19">
        <f>R29</f>
        <v>0</v>
      </c>
      <c r="E22" s="20">
        <f>Table114385062748698310[Projected Cost]-Table114385062748698310[Actual Cost]</f>
        <v>20</v>
      </c>
      <c r="F22" s="67"/>
      <c r="H22" s="28"/>
      <c r="I22" s="29"/>
      <c r="J22" s="42"/>
      <c r="K22" s="55"/>
      <c r="L22" s="56"/>
      <c r="M22" s="56"/>
      <c r="N22" s="56"/>
      <c r="O22" s="56"/>
      <c r="P22" s="56"/>
      <c r="Q22" s="49" t="s">
        <v>33</v>
      </c>
      <c r="R22" s="50">
        <f>SUM(R14:R21)</f>
        <v>0</v>
      </c>
      <c r="S22" s="56"/>
      <c r="T22" s="49" t="s">
        <v>33</v>
      </c>
      <c r="U22" s="50">
        <f>SUM(U14:U21)</f>
        <v>0</v>
      </c>
      <c r="V22" s="56"/>
      <c r="W22" s="56"/>
      <c r="X22" s="57"/>
    </row>
    <row r="23" spans="1:24" ht="15.75" customHeight="1" thickBot="1" x14ac:dyDescent="0.25">
      <c r="A23" s="2"/>
      <c r="B23" s="22" t="s">
        <v>37</v>
      </c>
      <c r="C23" s="19">
        <v>20</v>
      </c>
      <c r="D23" s="19">
        <f>U29</f>
        <v>0</v>
      </c>
      <c r="E23" s="20">
        <f>Table114385062748698310[Projected Cost]-Table114385062748698310[Actual Cost]</f>
        <v>20</v>
      </c>
      <c r="F23" s="67"/>
      <c r="H23" s="36" t="s">
        <v>33</v>
      </c>
      <c r="I23" s="30">
        <f>SUM(I13:I22)</f>
        <v>0</v>
      </c>
      <c r="J23" s="42"/>
      <c r="U23" s="23"/>
    </row>
    <row r="24" spans="1:24" ht="15.75" customHeight="1" thickBot="1" x14ac:dyDescent="0.25">
      <c r="A24" s="2"/>
      <c r="B24" s="22" t="s">
        <v>6</v>
      </c>
      <c r="C24" s="19">
        <v>50</v>
      </c>
      <c r="D24" s="19">
        <f>X29</f>
        <v>0</v>
      </c>
      <c r="E24" s="20">
        <f>Table114385062748698310[Projected Cost]-Table114385062748698310[Actual Cost]</f>
        <v>50</v>
      </c>
      <c r="F24" s="67"/>
      <c r="I24" s="43"/>
      <c r="J24" s="42"/>
      <c r="K24" s="139" t="s">
        <v>58</v>
      </c>
      <c r="L24" s="140"/>
      <c r="M24" s="140"/>
      <c r="N24" s="140"/>
      <c r="O24" s="140"/>
      <c r="P24" s="140"/>
      <c r="Q24" s="140"/>
      <c r="R24" s="140"/>
      <c r="S24" s="140"/>
      <c r="T24" s="140"/>
      <c r="U24" s="140"/>
      <c r="V24" s="140"/>
      <c r="W24" s="140"/>
      <c r="X24" s="141"/>
    </row>
    <row r="25" spans="1:24" ht="15.75" customHeight="1" thickBot="1" x14ac:dyDescent="0.25">
      <c r="A25" s="2"/>
      <c r="B25" s="16" t="s">
        <v>33</v>
      </c>
      <c r="C25" s="19">
        <f>SUBTOTAL(109,Table114385062748698310[Projected Cost])</f>
        <v>160</v>
      </c>
      <c r="D25" s="19">
        <f>SUBTOTAL(109,Table114385062748698310[Actual Cost])</f>
        <v>0</v>
      </c>
      <c r="E25" s="21">
        <f>SUBTOTAL(109,Table114385062748698310[Difference])</f>
        <v>160</v>
      </c>
      <c r="F25" s="67"/>
      <c r="J25" s="42"/>
      <c r="K25" s="148" t="s">
        <v>48</v>
      </c>
      <c r="L25" s="149"/>
      <c r="M25" s="44"/>
      <c r="N25" s="148" t="s">
        <v>4</v>
      </c>
      <c r="O25" s="149"/>
      <c r="P25" s="44"/>
      <c r="Q25" s="148" t="s">
        <v>47</v>
      </c>
      <c r="R25" s="149"/>
      <c r="S25" s="44"/>
      <c r="T25" s="148" t="s">
        <v>37</v>
      </c>
      <c r="U25" s="149"/>
      <c r="V25" s="44"/>
      <c r="W25" s="148" t="s">
        <v>6</v>
      </c>
      <c r="X25" s="149"/>
    </row>
    <row r="26" spans="1:24" ht="15.75" customHeight="1" thickBot="1" x14ac:dyDescent="0.25">
      <c r="A26" s="2"/>
      <c r="B26" s="113"/>
      <c r="C26" s="113"/>
      <c r="D26" s="113"/>
      <c r="E26" s="113"/>
      <c r="F26" s="67"/>
      <c r="J26" s="42"/>
      <c r="K26" s="45" t="s">
        <v>38</v>
      </c>
      <c r="L26" s="46" t="s">
        <v>46</v>
      </c>
      <c r="M26" s="44"/>
      <c r="N26" s="45" t="s">
        <v>38</v>
      </c>
      <c r="O26" s="46" t="s">
        <v>46</v>
      </c>
      <c r="P26" s="44"/>
      <c r="Q26" s="45" t="s">
        <v>38</v>
      </c>
      <c r="R26" s="46" t="s">
        <v>46</v>
      </c>
      <c r="S26" s="44"/>
      <c r="T26" s="45" t="s">
        <v>38</v>
      </c>
      <c r="U26" s="46" t="s">
        <v>46</v>
      </c>
      <c r="V26" s="44"/>
      <c r="W26" s="45" t="s">
        <v>38</v>
      </c>
      <c r="X26" s="46" t="s">
        <v>46</v>
      </c>
    </row>
    <row r="27" spans="1:24" ht="15.75" customHeight="1" x14ac:dyDescent="0.2">
      <c r="A27" s="2"/>
      <c r="B27" s="16" t="s">
        <v>24</v>
      </c>
      <c r="C27" s="17" t="s">
        <v>0</v>
      </c>
      <c r="D27" s="17" t="s">
        <v>1</v>
      </c>
      <c r="E27" s="18" t="s">
        <v>2</v>
      </c>
      <c r="F27" s="67"/>
      <c r="J27" s="42"/>
      <c r="K27" s="47" t="s">
        <v>48</v>
      </c>
      <c r="L27" s="48"/>
      <c r="M27" s="44"/>
      <c r="N27" s="47" t="s">
        <v>59</v>
      </c>
      <c r="O27" s="48"/>
      <c r="P27" s="44"/>
      <c r="Q27" s="47" t="s">
        <v>60</v>
      </c>
      <c r="R27" s="48"/>
      <c r="S27" s="44"/>
      <c r="T27" s="47" t="s">
        <v>59</v>
      </c>
      <c r="U27" s="48"/>
      <c r="V27" s="44"/>
      <c r="W27" s="47" t="s">
        <v>61</v>
      </c>
      <c r="X27" s="48"/>
    </row>
    <row r="28" spans="1:24" ht="15.75" customHeight="1" thickBot="1" x14ac:dyDescent="0.25">
      <c r="A28" s="2"/>
      <c r="B28" s="22" t="s">
        <v>20</v>
      </c>
      <c r="C28" s="19">
        <v>0</v>
      </c>
      <c r="D28" s="19">
        <f>L36</f>
        <v>0</v>
      </c>
      <c r="E28" s="20">
        <f>Table3214557698193105613[Projected Cost]-Table3214557698193105613[Actual Cost]</f>
        <v>0</v>
      </c>
      <c r="F28" s="67"/>
      <c r="J28" s="43"/>
      <c r="K28" s="47"/>
      <c r="L28" s="48"/>
      <c r="M28" s="44"/>
      <c r="N28" s="47"/>
      <c r="O28" s="48"/>
      <c r="P28" s="44"/>
      <c r="Q28" s="47"/>
      <c r="R28" s="48"/>
      <c r="S28" s="44"/>
      <c r="T28" s="47"/>
      <c r="U28" s="48"/>
      <c r="V28" s="44"/>
      <c r="W28" s="47"/>
      <c r="X28" s="48"/>
    </row>
    <row r="29" spans="1:24" ht="15.75" customHeight="1" thickBot="1" x14ac:dyDescent="0.25">
      <c r="A29" s="2"/>
      <c r="B29" s="22" t="s">
        <v>7</v>
      </c>
      <c r="C29" s="19">
        <v>0</v>
      </c>
      <c r="D29" s="19">
        <f>O36</f>
        <v>0</v>
      </c>
      <c r="E29" s="20">
        <f>Table3214557698193105613[Projected Cost]-Table3214557698193105613[Actual Cost]</f>
        <v>0</v>
      </c>
      <c r="F29" s="67"/>
      <c r="K29" s="49" t="s">
        <v>33</v>
      </c>
      <c r="L29" s="50">
        <f>SUM(L27:L28)</f>
        <v>0</v>
      </c>
      <c r="M29" s="56"/>
      <c r="N29" s="49" t="s">
        <v>33</v>
      </c>
      <c r="O29" s="50">
        <f>SUM(O27:O28)</f>
        <v>0</v>
      </c>
      <c r="P29" s="56"/>
      <c r="Q29" s="49" t="s">
        <v>33</v>
      </c>
      <c r="R29" s="50">
        <f>SUM(R27:R28)</f>
        <v>0</v>
      </c>
      <c r="S29" s="56"/>
      <c r="T29" s="49" t="s">
        <v>33</v>
      </c>
      <c r="U29" s="50">
        <f>SUM(U27:U28)</f>
        <v>0</v>
      </c>
      <c r="V29" s="56"/>
      <c r="W29" s="49" t="s">
        <v>33</v>
      </c>
      <c r="X29" s="50">
        <f>SUM(X27:X28)</f>
        <v>0</v>
      </c>
    </row>
    <row r="30" spans="1:24" ht="15.75" customHeight="1" thickBot="1" x14ac:dyDescent="0.25">
      <c r="A30" s="2"/>
      <c r="B30" s="22" t="s">
        <v>8</v>
      </c>
      <c r="C30" s="19">
        <v>0</v>
      </c>
      <c r="D30" s="19">
        <f>R40</f>
        <v>0</v>
      </c>
      <c r="E30" s="20">
        <f>Table3214557698193105613[Projected Cost]-Table3214557698193105613[Actual Cost]</f>
        <v>0</v>
      </c>
      <c r="F30" s="67"/>
      <c r="K30" s="44"/>
      <c r="L30" s="44"/>
      <c r="M30" s="44"/>
      <c r="N30" s="44"/>
      <c r="O30" s="44"/>
      <c r="P30" s="44"/>
      <c r="Q30" s="58"/>
      <c r="R30" s="58"/>
      <c r="S30" s="58"/>
      <c r="T30" s="58"/>
      <c r="U30" s="58"/>
      <c r="V30" s="44"/>
      <c r="W30" s="44"/>
      <c r="X30" s="44"/>
    </row>
    <row r="31" spans="1:24" ht="15.75" customHeight="1" thickBot="1" x14ac:dyDescent="0.25">
      <c r="A31" s="2"/>
      <c r="B31" s="22" t="s">
        <v>9</v>
      </c>
      <c r="C31" s="19">
        <v>0</v>
      </c>
      <c r="D31" s="19">
        <f>U38</f>
        <v>0</v>
      </c>
      <c r="E31" s="20">
        <f>Table3214557698193105613[Projected Cost]-Table3214557698193105613[Actual Cost]</f>
        <v>0</v>
      </c>
      <c r="F31" s="67"/>
      <c r="K31" s="139" t="s">
        <v>63</v>
      </c>
      <c r="L31" s="140"/>
      <c r="M31" s="140"/>
      <c r="N31" s="140"/>
      <c r="O31" s="140"/>
      <c r="P31" s="140"/>
      <c r="Q31" s="140"/>
      <c r="R31" s="140"/>
      <c r="S31" s="140"/>
      <c r="T31" s="140"/>
      <c r="U31" s="140"/>
      <c r="V31" s="140"/>
      <c r="W31" s="140"/>
      <c r="X31" s="141"/>
    </row>
    <row r="32" spans="1:24" ht="15.75" customHeight="1" thickBot="1" x14ac:dyDescent="0.25">
      <c r="A32" s="2"/>
      <c r="B32" s="22" t="s">
        <v>62</v>
      </c>
      <c r="C32" s="19">
        <v>50</v>
      </c>
      <c r="D32" s="19">
        <f>X40</f>
        <v>0</v>
      </c>
      <c r="E32" s="20">
        <f>Table3214557698193105613[Projected Cost]-Table3214557698193105613[Actual Cost]</f>
        <v>50</v>
      </c>
      <c r="F32" s="67"/>
      <c r="K32" s="148" t="s">
        <v>39</v>
      </c>
      <c r="L32" s="149"/>
      <c r="M32" s="44"/>
      <c r="N32" s="148" t="s">
        <v>7</v>
      </c>
      <c r="O32" s="149"/>
      <c r="P32" s="44"/>
      <c r="Q32" s="148" t="s">
        <v>8</v>
      </c>
      <c r="R32" s="149"/>
      <c r="S32" s="44"/>
      <c r="T32" s="148" t="s">
        <v>9</v>
      </c>
      <c r="U32" s="149"/>
      <c r="V32" s="44"/>
      <c r="W32" s="148" t="s">
        <v>62</v>
      </c>
      <c r="X32" s="149"/>
    </row>
    <row r="33" spans="1:24" ht="15.75" customHeight="1" thickBot="1" x14ac:dyDescent="0.25">
      <c r="A33" s="2"/>
      <c r="B33" s="16" t="s">
        <v>33</v>
      </c>
      <c r="C33" s="19">
        <f>SUBTOTAL(109,Table3214557698193105613[Projected Cost])</f>
        <v>50</v>
      </c>
      <c r="D33" s="19">
        <f>SUBTOTAL(109,Table3214557698193105613[Actual Cost])</f>
        <v>0</v>
      </c>
      <c r="E33" s="21">
        <f>SUBTOTAL(109,Table3214557698193105613[Difference])</f>
        <v>50</v>
      </c>
      <c r="F33" s="67"/>
      <c r="K33" s="45" t="s">
        <v>38</v>
      </c>
      <c r="L33" s="46" t="s">
        <v>46</v>
      </c>
      <c r="M33" s="44"/>
      <c r="N33" s="45" t="s">
        <v>38</v>
      </c>
      <c r="O33" s="46" t="s">
        <v>46</v>
      </c>
      <c r="P33" s="44"/>
      <c r="Q33" s="45" t="s">
        <v>38</v>
      </c>
      <c r="R33" s="46" t="s">
        <v>46</v>
      </c>
      <c r="S33" s="44"/>
      <c r="T33" s="45" t="s">
        <v>38</v>
      </c>
      <c r="U33" s="46" t="s">
        <v>46</v>
      </c>
      <c r="V33" s="44"/>
      <c r="W33" s="45" t="s">
        <v>38</v>
      </c>
      <c r="X33" s="46" t="s">
        <v>46</v>
      </c>
    </row>
    <row r="34" spans="1:24" ht="15.75" customHeight="1" x14ac:dyDescent="0.2">
      <c r="A34" s="2"/>
      <c r="B34" s="113"/>
      <c r="C34" s="113"/>
      <c r="D34" s="113"/>
      <c r="E34" s="113"/>
      <c r="F34" s="67"/>
      <c r="K34" s="47" t="s">
        <v>64</v>
      </c>
      <c r="L34" s="48"/>
      <c r="M34" s="44"/>
      <c r="N34" s="47" t="s">
        <v>59</v>
      </c>
      <c r="O34" s="48"/>
      <c r="P34" s="44"/>
      <c r="Q34" s="47" t="s">
        <v>65</v>
      </c>
      <c r="R34" s="48"/>
      <c r="S34" s="44"/>
      <c r="T34" s="47" t="s">
        <v>67</v>
      </c>
      <c r="U34" s="48"/>
      <c r="V34" s="44"/>
      <c r="W34" s="47" t="s">
        <v>66</v>
      </c>
      <c r="X34" s="48"/>
    </row>
    <row r="35" spans="1:24" ht="15.75" customHeight="1" thickBot="1" x14ac:dyDescent="0.25">
      <c r="A35" s="2"/>
      <c r="B35" s="16" t="s">
        <v>25</v>
      </c>
      <c r="C35" s="17" t="s">
        <v>0</v>
      </c>
      <c r="D35" s="17" t="s">
        <v>1</v>
      </c>
      <c r="E35" s="18" t="s">
        <v>2</v>
      </c>
      <c r="F35" s="67"/>
      <c r="K35" s="47"/>
      <c r="L35" s="48"/>
      <c r="M35" s="44"/>
      <c r="N35" s="47"/>
      <c r="O35" s="48"/>
      <c r="P35" s="44"/>
      <c r="Q35" s="47"/>
      <c r="R35" s="48"/>
      <c r="S35" s="44"/>
      <c r="T35" s="47"/>
      <c r="U35" s="48"/>
      <c r="V35" s="44"/>
      <c r="W35" s="47"/>
      <c r="X35" s="48"/>
    </row>
    <row r="36" spans="1:24" ht="15.75" customHeight="1" thickBot="1" x14ac:dyDescent="0.25">
      <c r="A36" s="2"/>
      <c r="B36" s="22" t="s">
        <v>68</v>
      </c>
      <c r="C36" s="19">
        <v>15</v>
      </c>
      <c r="D36" s="19">
        <f>L46</f>
        <v>0</v>
      </c>
      <c r="E36" s="20">
        <f>Table415395163758799411[Projected Cost]-Table415395163758799411[Actual Cost]</f>
        <v>15</v>
      </c>
      <c r="F36" s="67"/>
      <c r="K36" s="49" t="s">
        <v>33</v>
      </c>
      <c r="L36" s="50">
        <f>SUM(L34:L35)</f>
        <v>0</v>
      </c>
      <c r="M36" s="44"/>
      <c r="N36" s="49" t="s">
        <v>33</v>
      </c>
      <c r="O36" s="50">
        <f>SUM(O34:O35)</f>
        <v>0</v>
      </c>
      <c r="P36" s="44"/>
      <c r="Q36" s="47"/>
      <c r="R36" s="48"/>
      <c r="S36" s="44"/>
      <c r="T36" s="47"/>
      <c r="U36" s="48"/>
      <c r="V36" s="44"/>
      <c r="W36" s="47"/>
      <c r="X36" s="48"/>
    </row>
    <row r="37" spans="1:24" ht="15.75" customHeight="1" thickBot="1" x14ac:dyDescent="0.25">
      <c r="A37" s="2"/>
      <c r="B37" s="16" t="s">
        <v>33</v>
      </c>
      <c r="C37" s="19">
        <f>SUBTOTAL(109,Table415395163758799411[Projected Cost])</f>
        <v>15</v>
      </c>
      <c r="D37" s="19">
        <f>SUBTOTAL(109,Table415395163758799411[Actual Cost])</f>
        <v>0</v>
      </c>
      <c r="E37" s="21">
        <f>SUBTOTAL(109,Table415395163758799411[Difference])</f>
        <v>15</v>
      </c>
      <c r="F37" s="67"/>
      <c r="K37" s="62"/>
      <c r="L37" s="58"/>
      <c r="M37" s="44"/>
      <c r="N37" s="58"/>
      <c r="O37" s="58"/>
      <c r="P37" s="44"/>
      <c r="Q37" s="47"/>
      <c r="R37" s="48"/>
      <c r="S37" s="44"/>
      <c r="T37" s="47"/>
      <c r="U37" s="48"/>
      <c r="V37" s="44"/>
      <c r="W37" s="47"/>
      <c r="X37" s="48"/>
    </row>
    <row r="38" spans="1:24" ht="15.75" customHeight="1" thickBot="1" x14ac:dyDescent="0.25">
      <c r="A38" s="2"/>
      <c r="B38" s="113"/>
      <c r="C38" s="113"/>
      <c r="D38" s="113"/>
      <c r="E38" s="113"/>
      <c r="F38" s="67"/>
      <c r="K38" s="62"/>
      <c r="L38" s="58"/>
      <c r="M38" s="44"/>
      <c r="N38" s="58"/>
      <c r="O38" s="58"/>
      <c r="P38" s="44"/>
      <c r="Q38" s="47"/>
      <c r="R38" s="48"/>
      <c r="S38" s="44"/>
      <c r="T38" s="49" t="s">
        <v>33</v>
      </c>
      <c r="U38" s="50">
        <f>SUM(U34:U37)</f>
        <v>0</v>
      </c>
      <c r="V38" s="44"/>
      <c r="W38" s="47"/>
      <c r="X38" s="48"/>
    </row>
    <row r="39" spans="1:24" ht="15.75" customHeight="1" thickBot="1" x14ac:dyDescent="0.25">
      <c r="A39" s="2"/>
      <c r="B39" s="16" t="s">
        <v>26</v>
      </c>
      <c r="C39" s="17" t="s">
        <v>0</v>
      </c>
      <c r="D39" s="17" t="s">
        <v>1</v>
      </c>
      <c r="E39" s="18" t="s">
        <v>2</v>
      </c>
      <c r="F39" s="67"/>
      <c r="K39" s="62"/>
      <c r="L39" s="58"/>
      <c r="M39" s="44"/>
      <c r="N39" s="58"/>
      <c r="O39" s="58"/>
      <c r="P39" s="44"/>
      <c r="Q39" s="47"/>
      <c r="R39" s="48"/>
      <c r="S39" s="44"/>
      <c r="T39" s="58"/>
      <c r="U39" s="58"/>
      <c r="V39" s="44"/>
      <c r="W39" s="47"/>
      <c r="X39" s="48"/>
    </row>
    <row r="40" spans="1:24" ht="15.75" customHeight="1" thickBot="1" x14ac:dyDescent="0.25">
      <c r="A40" s="2"/>
      <c r="B40" s="22" t="s">
        <v>92</v>
      </c>
      <c r="C40" s="19">
        <f>IF('Starting Page'!I24="Yes",'Starting Page'!I26/8,300)</f>
        <v>300</v>
      </c>
      <c r="D40" s="19">
        <f>O53</f>
        <v>0</v>
      </c>
      <c r="E40" s="20">
        <f>Table5194355677991103512[Projected Cost]-Table5194355677991103512[Actual Cost]</f>
        <v>300</v>
      </c>
      <c r="F40" s="67"/>
      <c r="K40" s="63"/>
      <c r="L40" s="59"/>
      <c r="M40" s="56"/>
      <c r="N40" s="59"/>
      <c r="O40" s="59"/>
      <c r="P40" s="56"/>
      <c r="Q40" s="49" t="s">
        <v>33</v>
      </c>
      <c r="R40" s="50">
        <f>SUM(R34:R39)</f>
        <v>0</v>
      </c>
      <c r="S40" s="56"/>
      <c r="T40" s="59"/>
      <c r="U40" s="59"/>
      <c r="V40" s="56"/>
      <c r="W40" s="49" t="s">
        <v>33</v>
      </c>
      <c r="X40" s="50">
        <f>SUM(X34:X39)</f>
        <v>0</v>
      </c>
    </row>
    <row r="41" spans="1:24" ht="15.75" customHeight="1" thickBot="1" x14ac:dyDescent="0.25">
      <c r="A41" s="2"/>
      <c r="B41" s="22" t="s">
        <v>15</v>
      </c>
      <c r="C41" s="19">
        <v>100</v>
      </c>
      <c r="D41" s="19">
        <f>R53</f>
        <v>0</v>
      </c>
      <c r="E41" s="20">
        <f>Table5194355677991103512[Projected Cost]-Table5194355677991103512[Actual Cost]</f>
        <v>100</v>
      </c>
      <c r="F41" s="67"/>
    </row>
    <row r="42" spans="1:24" ht="15.75" customHeight="1" thickBot="1" x14ac:dyDescent="0.25">
      <c r="A42" s="2"/>
      <c r="B42" s="22" t="s">
        <v>6</v>
      </c>
      <c r="C42" s="19">
        <v>0</v>
      </c>
      <c r="D42" s="19">
        <f>U49</f>
        <v>0</v>
      </c>
      <c r="E42" s="20">
        <f>Table5194355677991103512[Projected Cost]-Table5194355677991103512[Actual Cost]</f>
        <v>0</v>
      </c>
      <c r="F42" s="67"/>
      <c r="K42" s="144" t="s">
        <v>68</v>
      </c>
      <c r="L42" s="145"/>
      <c r="N42" s="139" t="s">
        <v>11</v>
      </c>
      <c r="O42" s="140"/>
      <c r="P42" s="140"/>
      <c r="Q42" s="140"/>
      <c r="R42" s="140"/>
      <c r="S42" s="140"/>
      <c r="T42" s="140"/>
      <c r="U42" s="141"/>
    </row>
    <row r="43" spans="1:24" ht="15.75" customHeight="1" thickBot="1" x14ac:dyDescent="0.25">
      <c r="A43" s="2"/>
      <c r="B43" s="16" t="s">
        <v>33</v>
      </c>
      <c r="C43" s="19">
        <f>SUBTOTAL(109,Table5194355677991103512[Projected Cost])</f>
        <v>400</v>
      </c>
      <c r="D43" s="19">
        <f>SUBTOTAL(109,Table5194355677991103512[Actual Cost])</f>
        <v>0</v>
      </c>
      <c r="E43" s="21">
        <f>SUBTOTAL(109,Table5194355677991103512[Difference])</f>
        <v>400</v>
      </c>
      <c r="F43" s="67"/>
      <c r="K43" s="45" t="s">
        <v>38</v>
      </c>
      <c r="L43" s="46" t="s">
        <v>46</v>
      </c>
      <c r="N43" s="148" t="s">
        <v>10</v>
      </c>
      <c r="O43" s="149"/>
      <c r="P43" s="44"/>
      <c r="Q43" s="148" t="s">
        <v>40</v>
      </c>
      <c r="R43" s="149"/>
      <c r="S43" s="58"/>
      <c r="T43" s="148" t="s">
        <v>6</v>
      </c>
      <c r="U43" s="149"/>
    </row>
    <row r="44" spans="1:24" ht="15.75" customHeight="1" thickBot="1" x14ac:dyDescent="0.25">
      <c r="A44" s="2"/>
      <c r="B44" s="113"/>
      <c r="C44" s="113"/>
      <c r="D44" s="113"/>
      <c r="E44" s="113"/>
      <c r="F44" s="67"/>
      <c r="K44" s="47" t="s">
        <v>59</v>
      </c>
      <c r="L44" s="48"/>
      <c r="N44" s="45" t="s">
        <v>38</v>
      </c>
      <c r="O44" s="46" t="s">
        <v>46</v>
      </c>
      <c r="P44" s="44"/>
      <c r="Q44" s="45" t="s">
        <v>38</v>
      </c>
      <c r="R44" s="46" t="s">
        <v>46</v>
      </c>
      <c r="S44" s="58"/>
      <c r="T44" s="45" t="s">
        <v>38</v>
      </c>
      <c r="U44" s="46" t="s">
        <v>46</v>
      </c>
    </row>
    <row r="45" spans="1:24" ht="15.75" customHeight="1" thickBot="1" x14ac:dyDescent="0.25">
      <c r="A45" s="2"/>
      <c r="B45" s="16" t="s">
        <v>27</v>
      </c>
      <c r="C45" s="17" t="s">
        <v>0</v>
      </c>
      <c r="D45" s="17" t="s">
        <v>1</v>
      </c>
      <c r="E45" s="18" t="s">
        <v>2</v>
      </c>
      <c r="F45" s="67"/>
      <c r="K45" s="47"/>
      <c r="L45" s="48"/>
      <c r="N45" s="47" t="s">
        <v>69</v>
      </c>
      <c r="O45" s="48"/>
      <c r="P45" s="44"/>
      <c r="Q45" s="47" t="s">
        <v>70</v>
      </c>
      <c r="R45" s="48"/>
      <c r="S45" s="58"/>
      <c r="T45" s="47"/>
      <c r="U45" s="48"/>
    </row>
    <row r="46" spans="1:24" ht="17.25" customHeight="1" thickBot="1" x14ac:dyDescent="0.25">
      <c r="A46" s="2"/>
      <c r="B46" s="22" t="s">
        <v>12</v>
      </c>
      <c r="C46" s="19">
        <v>20</v>
      </c>
      <c r="D46" s="19">
        <f>L61</f>
        <v>0</v>
      </c>
      <c r="E46" s="20">
        <f>Table7244860728496108714[Projected Cost]-Table7244860728496108714[Actual Cost]</f>
        <v>20</v>
      </c>
      <c r="F46" s="67"/>
      <c r="K46" s="49" t="s">
        <v>33</v>
      </c>
      <c r="L46" s="50">
        <f>SUM(L44:L45)</f>
        <v>0</v>
      </c>
      <c r="N46" s="47"/>
      <c r="O46" s="48"/>
      <c r="P46" s="44"/>
      <c r="Q46" s="47"/>
      <c r="R46" s="48"/>
      <c r="S46" s="58"/>
      <c r="T46" s="47"/>
      <c r="U46" s="48"/>
    </row>
    <row r="47" spans="1:24" ht="15.75" customHeight="1" x14ac:dyDescent="0.2">
      <c r="A47" s="2"/>
      <c r="B47" s="22" t="s">
        <v>14</v>
      </c>
      <c r="C47" s="19">
        <v>50</v>
      </c>
      <c r="D47" s="19">
        <f>O60</f>
        <v>0</v>
      </c>
      <c r="E47" s="20">
        <f>Table7244860728496108714[Projected Cost]-Table7244860728496108714[Actual Cost]</f>
        <v>50</v>
      </c>
      <c r="F47" s="67"/>
      <c r="N47" s="47"/>
      <c r="O47" s="48"/>
      <c r="P47" s="44"/>
      <c r="Q47" s="47"/>
      <c r="R47" s="48"/>
      <c r="S47" s="58"/>
      <c r="T47" s="47"/>
      <c r="U47" s="48"/>
    </row>
    <row r="48" spans="1:24" ht="15.75" customHeight="1" thickBot="1" x14ac:dyDescent="0.25">
      <c r="A48" s="2"/>
      <c r="B48" s="22" t="s">
        <v>13</v>
      </c>
      <c r="C48" s="19">
        <v>50</v>
      </c>
      <c r="D48" s="19">
        <f>R64</f>
        <v>0</v>
      </c>
      <c r="E48" s="20">
        <f>Table7244860728496108714[Projected Cost]-Table7244860728496108714[Actual Cost]</f>
        <v>50</v>
      </c>
      <c r="F48" s="67"/>
      <c r="N48" s="47"/>
      <c r="O48" s="48"/>
      <c r="P48" s="44"/>
      <c r="Q48" s="47"/>
      <c r="R48" s="48"/>
      <c r="S48" s="58"/>
      <c r="T48" s="47"/>
      <c r="U48" s="48"/>
    </row>
    <row r="49" spans="1:24" ht="15.75" customHeight="1" thickBot="1" x14ac:dyDescent="0.25">
      <c r="A49" s="2"/>
      <c r="B49" s="22" t="s">
        <v>49</v>
      </c>
      <c r="C49" s="19">
        <v>40</v>
      </c>
      <c r="D49" s="19">
        <f>U60</f>
        <v>0</v>
      </c>
      <c r="E49" s="20">
        <f>Table7244860728496108714[Projected Cost]-Table7244860728496108714[Actual Cost]</f>
        <v>40</v>
      </c>
      <c r="F49" s="67"/>
      <c r="N49" s="47"/>
      <c r="O49" s="48"/>
      <c r="P49" s="44"/>
      <c r="Q49" s="47"/>
      <c r="R49" s="48"/>
      <c r="S49" s="58"/>
      <c r="T49" s="49" t="s">
        <v>33</v>
      </c>
      <c r="U49" s="50">
        <f>SUM(U45:U48)</f>
        <v>0</v>
      </c>
    </row>
    <row r="50" spans="1:24" ht="15.75" customHeight="1" x14ac:dyDescent="0.2">
      <c r="A50" s="2"/>
      <c r="B50" s="22" t="s">
        <v>6</v>
      </c>
      <c r="C50" s="19">
        <v>20</v>
      </c>
      <c r="D50" s="19">
        <f>X64</f>
        <v>0</v>
      </c>
      <c r="E50" s="20">
        <f>Table7244860728496108714[Projected Cost]-Table7244860728496108714[Actual Cost]</f>
        <v>20</v>
      </c>
      <c r="F50" s="67"/>
      <c r="N50" s="47"/>
      <c r="O50" s="48"/>
      <c r="P50" s="44"/>
      <c r="Q50" s="47"/>
      <c r="R50" s="48"/>
      <c r="S50" s="58"/>
      <c r="T50" s="58"/>
      <c r="U50" s="64"/>
    </row>
    <row r="51" spans="1:24" ht="15.75" customHeight="1" x14ac:dyDescent="0.2">
      <c r="A51" s="2"/>
      <c r="B51" s="16" t="s">
        <v>33</v>
      </c>
      <c r="C51" s="19">
        <f>SUBTOTAL(109,Table7244860728496108714[Projected Cost])</f>
        <v>180</v>
      </c>
      <c r="D51" s="19">
        <f>SUBTOTAL(109,Table7244860728496108714[Actual Cost])</f>
        <v>0</v>
      </c>
      <c r="E51" s="21">
        <f>SUBTOTAL(109,Table7244860728496108714[Difference])</f>
        <v>180</v>
      </c>
      <c r="F51" s="67"/>
      <c r="N51" s="47"/>
      <c r="O51" s="48"/>
      <c r="P51" s="44"/>
      <c r="Q51" s="47"/>
      <c r="R51" s="48"/>
      <c r="S51" s="58"/>
      <c r="T51" s="58"/>
      <c r="U51" s="64"/>
    </row>
    <row r="52" spans="1:24" ht="15.75" customHeight="1" thickBot="1" x14ac:dyDescent="0.25">
      <c r="A52" s="2"/>
      <c r="F52" s="67"/>
      <c r="N52" s="47"/>
      <c r="O52" s="48"/>
      <c r="P52" s="44"/>
      <c r="Q52" s="47"/>
      <c r="R52" s="48"/>
      <c r="S52" s="58"/>
      <c r="T52" s="58"/>
      <c r="U52" s="64"/>
    </row>
    <row r="53" spans="1:24" ht="15.75" customHeight="1" thickBot="1" x14ac:dyDescent="0.25">
      <c r="A53" s="2"/>
      <c r="B53" s="16" t="s">
        <v>23</v>
      </c>
      <c r="C53" s="17" t="s">
        <v>0</v>
      </c>
      <c r="D53" s="17" t="s">
        <v>1</v>
      </c>
      <c r="E53" s="18" t="s">
        <v>2</v>
      </c>
      <c r="F53" s="67"/>
      <c r="N53" s="49" t="s">
        <v>33</v>
      </c>
      <c r="O53" s="50">
        <f>SUM(O45:O52)</f>
        <v>0</v>
      </c>
      <c r="P53" s="56"/>
      <c r="Q53" s="49" t="s">
        <v>33</v>
      </c>
      <c r="R53" s="50">
        <f>SUM(R45:R52)</f>
        <v>0</v>
      </c>
      <c r="S53" s="59"/>
      <c r="T53" s="59"/>
      <c r="U53" s="65"/>
    </row>
    <row r="54" spans="1:24" ht="15.75" customHeight="1" thickBot="1" x14ac:dyDescent="0.25">
      <c r="A54" s="2"/>
      <c r="B54" s="22" t="s">
        <v>81</v>
      </c>
      <c r="C54" s="19">
        <v>50</v>
      </c>
      <c r="D54" s="19">
        <f>L72</f>
        <v>0</v>
      </c>
      <c r="E54" s="20">
        <f>Table2254961738597109815[Projected Cost]-Table2254961738597109815[Actual Cost]</f>
        <v>50</v>
      </c>
      <c r="F54" s="67"/>
    </row>
    <row r="55" spans="1:24" ht="15.75" customHeight="1" thickBot="1" x14ac:dyDescent="0.25">
      <c r="A55" s="2"/>
      <c r="B55" s="22" t="s">
        <v>16</v>
      </c>
      <c r="C55" s="19">
        <v>15</v>
      </c>
      <c r="D55" s="19">
        <f>O71</f>
        <v>0</v>
      </c>
      <c r="E55" s="20">
        <f>Table2254961738597109815[Projected Cost]-Table2254961738597109815[Actual Cost]</f>
        <v>15</v>
      </c>
      <c r="F55" s="13"/>
      <c r="K55" s="139" t="s">
        <v>75</v>
      </c>
      <c r="L55" s="140"/>
      <c r="M55" s="140"/>
      <c r="N55" s="140"/>
      <c r="O55" s="140"/>
      <c r="P55" s="140"/>
      <c r="Q55" s="140"/>
      <c r="R55" s="140"/>
      <c r="S55" s="140"/>
      <c r="T55" s="140"/>
      <c r="U55" s="140"/>
      <c r="V55" s="140"/>
      <c r="W55" s="140"/>
      <c r="X55" s="141"/>
    </row>
    <row r="56" spans="1:24" ht="15.75" customHeight="1" thickBot="1" x14ac:dyDescent="0.25">
      <c r="A56" s="2"/>
      <c r="B56" s="22" t="s">
        <v>17</v>
      </c>
      <c r="C56" s="19">
        <v>20</v>
      </c>
      <c r="D56" s="19">
        <f>R71</f>
        <v>0</v>
      </c>
      <c r="E56" s="20">
        <f>Table2254961738597109815[Projected Cost]-Table2254961738597109815[Actual Cost]</f>
        <v>20</v>
      </c>
      <c r="F56" s="13"/>
      <c r="K56" s="148" t="s">
        <v>12</v>
      </c>
      <c r="L56" s="149"/>
      <c r="M56" s="44"/>
      <c r="N56" s="148" t="s">
        <v>71</v>
      </c>
      <c r="O56" s="149"/>
      <c r="P56" s="44"/>
      <c r="Q56" s="142" t="s">
        <v>13</v>
      </c>
      <c r="R56" s="143"/>
      <c r="S56" s="44"/>
      <c r="T56" s="148" t="s">
        <v>49</v>
      </c>
      <c r="U56" s="149"/>
      <c r="V56" s="44"/>
      <c r="W56" s="142" t="s">
        <v>6</v>
      </c>
      <c r="X56" s="143"/>
    </row>
    <row r="57" spans="1:24" ht="15.75" customHeight="1" thickBot="1" x14ac:dyDescent="0.25">
      <c r="A57" s="2"/>
      <c r="B57" s="22" t="s">
        <v>21</v>
      </c>
      <c r="C57" s="19">
        <v>0</v>
      </c>
      <c r="D57" s="19">
        <f>U71</f>
        <v>0</v>
      </c>
      <c r="E57" s="20">
        <f>Table2254961738597109815[Projected Cost]-Table2254961738597109815[Actual Cost]</f>
        <v>0</v>
      </c>
      <c r="F57" s="13"/>
      <c r="K57" s="45" t="s">
        <v>38</v>
      </c>
      <c r="L57" s="46" t="s">
        <v>46</v>
      </c>
      <c r="M57" s="44"/>
      <c r="N57" s="45" t="s">
        <v>38</v>
      </c>
      <c r="O57" s="46" t="s">
        <v>46</v>
      </c>
      <c r="P57" s="44"/>
      <c r="Q57" s="45" t="s">
        <v>38</v>
      </c>
      <c r="R57" s="46" t="s">
        <v>46</v>
      </c>
      <c r="S57" s="44"/>
      <c r="T57" s="45" t="s">
        <v>38</v>
      </c>
      <c r="U57" s="46" t="s">
        <v>46</v>
      </c>
      <c r="V57" s="44"/>
      <c r="W57" s="45" t="s">
        <v>38</v>
      </c>
      <c r="X57" s="46" t="s">
        <v>46</v>
      </c>
    </row>
    <row r="58" spans="1:24" ht="15.75" customHeight="1" x14ac:dyDescent="0.2">
      <c r="A58" s="2"/>
      <c r="B58" s="22" t="s">
        <v>6</v>
      </c>
      <c r="C58" s="19">
        <v>100</v>
      </c>
      <c r="D58" s="19">
        <f>X75</f>
        <v>0</v>
      </c>
      <c r="E58" s="20">
        <f>Table2254961738597109815[Projected Cost]-Table2254961738597109815[Actual Cost]</f>
        <v>100</v>
      </c>
      <c r="F58" s="13"/>
      <c r="K58" s="47" t="s">
        <v>82</v>
      </c>
      <c r="L58" s="48"/>
      <c r="M58" s="44"/>
      <c r="N58" s="47" t="s">
        <v>73</v>
      </c>
      <c r="O58" s="48"/>
      <c r="P58" s="44"/>
      <c r="Q58" s="47" t="s">
        <v>74</v>
      </c>
      <c r="R58" s="48"/>
      <c r="S58" s="44"/>
      <c r="T58" s="47" t="s">
        <v>49</v>
      </c>
      <c r="U58" s="48"/>
      <c r="V58" s="44"/>
      <c r="W58" s="47"/>
      <c r="X58" s="48"/>
    </row>
    <row r="59" spans="1:24" ht="15.75" customHeight="1" thickBot="1" x14ac:dyDescent="0.25">
      <c r="A59" s="2"/>
      <c r="B59" s="16" t="s">
        <v>33</v>
      </c>
      <c r="C59" s="77">
        <f>SUBTOTAL(109,Table2254961738597109815[Projected Cost])</f>
        <v>185</v>
      </c>
      <c r="D59" s="19">
        <f>SUBTOTAL(109,Table2254961738597109815[Actual Cost])</f>
        <v>0</v>
      </c>
      <c r="E59" s="21">
        <f>SUBTOTAL(109,Table2254961738597109815[Difference])</f>
        <v>185</v>
      </c>
      <c r="F59" s="13"/>
      <c r="K59" s="47"/>
      <c r="L59" s="48"/>
      <c r="M59" s="44"/>
      <c r="N59" s="47"/>
      <c r="O59" s="48"/>
      <c r="P59" s="44"/>
      <c r="Q59" s="47"/>
      <c r="R59" s="48"/>
      <c r="S59" s="44"/>
      <c r="T59" s="47"/>
      <c r="U59" s="48"/>
      <c r="V59" s="44"/>
      <c r="W59" s="47"/>
      <c r="X59" s="48"/>
    </row>
    <row r="60" spans="1:24" ht="15.75" customHeight="1" thickBot="1" x14ac:dyDescent="0.25">
      <c r="A60" s="2"/>
      <c r="F60" s="13"/>
      <c r="K60" s="47"/>
      <c r="L60" s="48"/>
      <c r="M60" s="44"/>
      <c r="N60" s="49" t="s">
        <v>33</v>
      </c>
      <c r="O60" s="50">
        <f>SUM(O58:O59)</f>
        <v>0</v>
      </c>
      <c r="P60" s="44"/>
      <c r="Q60" s="47"/>
      <c r="R60" s="48"/>
      <c r="S60" s="44"/>
      <c r="T60" s="49" t="s">
        <v>33</v>
      </c>
      <c r="U60" s="50">
        <f>SUM(U58:U59)</f>
        <v>0</v>
      </c>
      <c r="V60" s="44"/>
      <c r="W60" s="47"/>
      <c r="X60" s="48"/>
    </row>
    <row r="61" spans="1:24" ht="15.75" customHeight="1" thickBot="1" x14ac:dyDescent="0.25">
      <c r="A61" s="2"/>
      <c r="F61" s="13"/>
      <c r="K61" s="49" t="s">
        <v>33</v>
      </c>
      <c r="L61" s="50">
        <f>SUM(L58:L60)</f>
        <v>0</v>
      </c>
      <c r="M61" s="44"/>
      <c r="N61" s="58"/>
      <c r="O61" s="58"/>
      <c r="P61" s="44"/>
      <c r="Q61" s="47"/>
      <c r="R61" s="48"/>
      <c r="S61" s="44"/>
      <c r="T61" s="58"/>
      <c r="U61" s="58"/>
      <c r="V61" s="44"/>
      <c r="W61" s="47"/>
      <c r="X61" s="48"/>
    </row>
    <row r="62" spans="1:24" ht="15.75" customHeight="1" x14ac:dyDescent="0.2">
      <c r="B62" s="102" t="s">
        <v>30</v>
      </c>
      <c r="C62" s="102"/>
      <c r="D62" s="102"/>
      <c r="E62" s="117">
        <f>SUM(C17,C25,C33,C37,C43,C51,C59)</f>
        <v>1090</v>
      </c>
      <c r="K62" s="62"/>
      <c r="L62" s="58"/>
      <c r="M62" s="44"/>
      <c r="N62" s="58"/>
      <c r="O62" s="58"/>
      <c r="P62" s="44"/>
      <c r="Q62" s="47"/>
      <c r="R62" s="48"/>
      <c r="S62" s="44"/>
      <c r="T62" s="58"/>
      <c r="U62" s="58"/>
      <c r="V62" s="44"/>
      <c r="W62" s="47"/>
      <c r="X62" s="48"/>
    </row>
    <row r="63" spans="1:24" ht="13.5" thickBot="1" x14ac:dyDescent="0.25">
      <c r="B63" s="102"/>
      <c r="C63" s="102"/>
      <c r="D63" s="102"/>
      <c r="E63" s="117"/>
      <c r="J63" s="58"/>
      <c r="K63" s="62"/>
      <c r="L63" s="58"/>
      <c r="M63" s="44"/>
      <c r="N63" s="58"/>
      <c r="O63" s="58"/>
      <c r="P63" s="44"/>
      <c r="Q63" s="47"/>
      <c r="R63" s="48"/>
      <c r="S63" s="44"/>
      <c r="T63" s="58"/>
      <c r="U63" s="58"/>
      <c r="V63" s="44"/>
      <c r="W63" s="47"/>
      <c r="X63" s="48"/>
    </row>
    <row r="64" spans="1:24" ht="13.5" thickBot="1" x14ac:dyDescent="0.25">
      <c r="B64" s="102" t="s">
        <v>31</v>
      </c>
      <c r="C64" s="102"/>
      <c r="D64" s="102"/>
      <c r="E64" s="117">
        <f>SUM(D17,D25,D33,D37,D43,D51,D59)</f>
        <v>0</v>
      </c>
      <c r="J64" s="58"/>
      <c r="K64" s="63"/>
      <c r="L64" s="59"/>
      <c r="M64" s="56"/>
      <c r="N64" s="59"/>
      <c r="O64" s="59"/>
      <c r="P64" s="56"/>
      <c r="Q64" s="49" t="s">
        <v>33</v>
      </c>
      <c r="R64" s="50">
        <f>SUM(R58:R63)</f>
        <v>0</v>
      </c>
      <c r="S64" s="56"/>
      <c r="T64" s="59"/>
      <c r="U64" s="59"/>
      <c r="V64" s="56"/>
      <c r="W64" s="49" t="s">
        <v>33</v>
      </c>
      <c r="X64" s="50">
        <f>SUM(X58:X63)</f>
        <v>0</v>
      </c>
    </row>
    <row r="65" spans="2:24" ht="13.5" thickBot="1" x14ac:dyDescent="0.25">
      <c r="B65" s="102"/>
      <c r="C65" s="102"/>
      <c r="D65" s="102"/>
      <c r="E65" s="117"/>
      <c r="J65" s="58"/>
      <c r="K65" s="58"/>
      <c r="L65" s="58"/>
      <c r="M65" s="58"/>
      <c r="N65" s="58"/>
      <c r="O65" s="58"/>
      <c r="P65" s="58"/>
      <c r="S65" s="58"/>
      <c r="T65" s="58"/>
      <c r="U65" s="58"/>
      <c r="V65" s="58"/>
    </row>
    <row r="66" spans="2:24" ht="13.5" thickBot="1" x14ac:dyDescent="0.25">
      <c r="B66" s="102" t="s">
        <v>32</v>
      </c>
      <c r="C66" s="102"/>
      <c r="D66" s="102"/>
      <c r="E66" s="117">
        <f>SUM(E17,E25,E33,E37,E43,E51,E59)</f>
        <v>1090</v>
      </c>
      <c r="J66" s="58"/>
      <c r="K66" s="139" t="s">
        <v>76</v>
      </c>
      <c r="L66" s="140"/>
      <c r="M66" s="140"/>
      <c r="N66" s="140"/>
      <c r="O66" s="140"/>
      <c r="P66" s="140"/>
      <c r="Q66" s="140"/>
      <c r="R66" s="140"/>
      <c r="S66" s="140"/>
      <c r="T66" s="140"/>
      <c r="U66" s="140"/>
      <c r="V66" s="140"/>
      <c r="W66" s="140"/>
      <c r="X66" s="141"/>
    </row>
    <row r="67" spans="2:24" ht="13.5" thickBot="1" x14ac:dyDescent="0.25">
      <c r="B67" s="102"/>
      <c r="C67" s="102"/>
      <c r="D67" s="102"/>
      <c r="E67" s="117"/>
      <c r="J67" s="58"/>
      <c r="K67" s="148" t="s">
        <v>41</v>
      </c>
      <c r="L67" s="149"/>
      <c r="M67" s="44"/>
      <c r="N67" s="148" t="s">
        <v>16</v>
      </c>
      <c r="O67" s="149"/>
      <c r="P67" s="44"/>
      <c r="Q67" s="142" t="s">
        <v>17</v>
      </c>
      <c r="R67" s="143"/>
      <c r="S67" s="44"/>
      <c r="T67" s="148" t="s">
        <v>77</v>
      </c>
      <c r="U67" s="149"/>
      <c r="V67" s="44"/>
      <c r="W67" s="142" t="s">
        <v>6</v>
      </c>
      <c r="X67" s="143"/>
    </row>
    <row r="68" spans="2:24" ht="13.5" thickBot="1" x14ac:dyDescent="0.25">
      <c r="J68" s="58"/>
      <c r="K68" s="45" t="s">
        <v>38</v>
      </c>
      <c r="L68" s="46" t="s">
        <v>46</v>
      </c>
      <c r="M68" s="44"/>
      <c r="N68" s="45" t="s">
        <v>38</v>
      </c>
      <c r="O68" s="46" t="s">
        <v>46</v>
      </c>
      <c r="P68" s="44"/>
      <c r="Q68" s="45" t="s">
        <v>38</v>
      </c>
      <c r="R68" s="46" t="s">
        <v>46</v>
      </c>
      <c r="S68" s="44"/>
      <c r="T68" s="45" t="s">
        <v>38</v>
      </c>
      <c r="U68" s="46" t="s">
        <v>46</v>
      </c>
      <c r="V68" s="44"/>
      <c r="W68" s="45" t="s">
        <v>38</v>
      </c>
      <c r="X68" s="46" t="s">
        <v>46</v>
      </c>
    </row>
    <row r="69" spans="2:24" x14ac:dyDescent="0.2">
      <c r="J69" s="58"/>
      <c r="K69" s="47" t="s">
        <v>72</v>
      </c>
      <c r="L69" s="48"/>
      <c r="M69" s="44"/>
      <c r="N69" s="47" t="s">
        <v>43</v>
      </c>
      <c r="O69" s="48"/>
      <c r="P69" s="44"/>
      <c r="Q69" s="47" t="s">
        <v>78</v>
      </c>
      <c r="R69" s="48"/>
      <c r="S69" s="44"/>
      <c r="T69" s="47" t="s">
        <v>79</v>
      </c>
      <c r="U69" s="48"/>
      <c r="V69" s="44"/>
      <c r="W69" s="47"/>
      <c r="X69" s="48"/>
    </row>
    <row r="70" spans="2:24" ht="13.5" thickBot="1" x14ac:dyDescent="0.25">
      <c r="K70" s="47"/>
      <c r="L70" s="48"/>
      <c r="M70" s="44"/>
      <c r="N70" s="47"/>
      <c r="O70" s="48"/>
      <c r="P70" s="44"/>
      <c r="Q70" s="47"/>
      <c r="R70" s="48"/>
      <c r="S70" s="44"/>
      <c r="T70" s="47"/>
      <c r="U70" s="48"/>
      <c r="V70" s="44"/>
      <c r="W70" s="47"/>
      <c r="X70" s="48"/>
    </row>
    <row r="71" spans="2:24" ht="13.5" thickBot="1" x14ac:dyDescent="0.25">
      <c r="K71" s="47"/>
      <c r="L71" s="48"/>
      <c r="M71" s="44"/>
      <c r="N71" s="49" t="s">
        <v>33</v>
      </c>
      <c r="O71" s="50">
        <f>SUM(O69:O70)</f>
        <v>0</v>
      </c>
      <c r="P71" s="44"/>
      <c r="Q71" s="49" t="s">
        <v>33</v>
      </c>
      <c r="R71" s="50">
        <f>SUM(R69:R70)</f>
        <v>0</v>
      </c>
      <c r="S71" s="44"/>
      <c r="T71" s="49" t="s">
        <v>33</v>
      </c>
      <c r="U71" s="50">
        <f>SUM(U69:U70)</f>
        <v>0</v>
      </c>
      <c r="V71" s="44"/>
      <c r="W71" s="47"/>
      <c r="X71" s="48"/>
    </row>
    <row r="72" spans="2:24" ht="13.5" thickBot="1" x14ac:dyDescent="0.25">
      <c r="K72" s="49" t="s">
        <v>33</v>
      </c>
      <c r="L72" s="50">
        <f>SUM(L69:L71)</f>
        <v>0</v>
      </c>
      <c r="M72" s="44"/>
      <c r="N72" s="58"/>
      <c r="O72" s="58"/>
      <c r="P72" s="44"/>
      <c r="Q72" s="58"/>
      <c r="R72" s="58"/>
      <c r="S72" s="44"/>
      <c r="T72" s="58"/>
      <c r="U72" s="58"/>
      <c r="V72" s="44"/>
      <c r="W72" s="47"/>
      <c r="X72" s="48"/>
    </row>
    <row r="73" spans="2:24" x14ac:dyDescent="0.2">
      <c r="K73" s="62"/>
      <c r="L73" s="58"/>
      <c r="M73" s="44"/>
      <c r="N73" s="58"/>
      <c r="O73" s="58"/>
      <c r="P73" s="44"/>
      <c r="Q73" s="58"/>
      <c r="R73" s="58"/>
      <c r="S73" s="44"/>
      <c r="T73" s="58"/>
      <c r="U73" s="58"/>
      <c r="V73" s="44"/>
      <c r="W73" s="47"/>
      <c r="X73" s="48"/>
    </row>
    <row r="74" spans="2:24" ht="13.5" thickBot="1" x14ac:dyDescent="0.25">
      <c r="K74" s="62"/>
      <c r="L74" s="58"/>
      <c r="M74" s="44"/>
      <c r="N74" s="58"/>
      <c r="O74" s="58"/>
      <c r="P74" s="44"/>
      <c r="Q74" s="58"/>
      <c r="R74" s="58"/>
      <c r="S74" s="44"/>
      <c r="T74" s="58"/>
      <c r="U74" s="58"/>
      <c r="V74" s="44"/>
      <c r="W74" s="47"/>
      <c r="X74" s="48"/>
    </row>
    <row r="75" spans="2:24" ht="13.5" thickBot="1" x14ac:dyDescent="0.25">
      <c r="K75" s="63"/>
      <c r="L75" s="59"/>
      <c r="M75" s="56"/>
      <c r="N75" s="59"/>
      <c r="O75" s="59"/>
      <c r="P75" s="56"/>
      <c r="Q75" s="59"/>
      <c r="R75" s="59"/>
      <c r="S75" s="56"/>
      <c r="T75" s="59"/>
      <c r="U75" s="59"/>
      <c r="V75" s="56"/>
      <c r="W75" s="49" t="s">
        <v>33</v>
      </c>
      <c r="X75" s="50">
        <f>SUM(X69:X74)</f>
        <v>0</v>
      </c>
    </row>
  </sheetData>
  <mergeCells count="64">
    <mergeCell ref="K66:X66"/>
    <mergeCell ref="K67:L67"/>
    <mergeCell ref="N67:O67"/>
    <mergeCell ref="Q67:R67"/>
    <mergeCell ref="T67:U67"/>
    <mergeCell ref="W67:X67"/>
    <mergeCell ref="B62:D63"/>
    <mergeCell ref="E62:E63"/>
    <mergeCell ref="B64:D65"/>
    <mergeCell ref="E64:E65"/>
    <mergeCell ref="B66:D67"/>
    <mergeCell ref="E66:E67"/>
    <mergeCell ref="B44:E44"/>
    <mergeCell ref="K55:X55"/>
    <mergeCell ref="K56:L56"/>
    <mergeCell ref="N56:O56"/>
    <mergeCell ref="Q56:R56"/>
    <mergeCell ref="T56:U56"/>
    <mergeCell ref="W56:X56"/>
    <mergeCell ref="B34:E34"/>
    <mergeCell ref="B38:E38"/>
    <mergeCell ref="K42:L42"/>
    <mergeCell ref="N42:U42"/>
    <mergeCell ref="N43:O43"/>
    <mergeCell ref="Q43:R43"/>
    <mergeCell ref="T43:U43"/>
    <mergeCell ref="B26:E26"/>
    <mergeCell ref="K31:X31"/>
    <mergeCell ref="K32:L32"/>
    <mergeCell ref="N32:O32"/>
    <mergeCell ref="Q32:R32"/>
    <mergeCell ref="T32:U32"/>
    <mergeCell ref="W32:X32"/>
    <mergeCell ref="K24:X24"/>
    <mergeCell ref="K25:L25"/>
    <mergeCell ref="N25:O25"/>
    <mergeCell ref="Q25:R25"/>
    <mergeCell ref="T25:U25"/>
    <mergeCell ref="W25:X25"/>
    <mergeCell ref="H11:I11"/>
    <mergeCell ref="K11:X11"/>
    <mergeCell ref="K12:L12"/>
    <mergeCell ref="N12:O12"/>
    <mergeCell ref="Q12:R12"/>
    <mergeCell ref="T12:U12"/>
    <mergeCell ref="W12:X12"/>
    <mergeCell ref="B7:B9"/>
    <mergeCell ref="C7:D7"/>
    <mergeCell ref="C8:D8"/>
    <mergeCell ref="G8:K9"/>
    <mergeCell ref="L8:L9"/>
    <mergeCell ref="C9:D9"/>
    <mergeCell ref="Q5:R5"/>
    <mergeCell ref="T5:U5"/>
    <mergeCell ref="W5:X5"/>
    <mergeCell ref="C6:D6"/>
    <mergeCell ref="G6:K7"/>
    <mergeCell ref="L6:L7"/>
    <mergeCell ref="B3:D3"/>
    <mergeCell ref="B4:B6"/>
    <mergeCell ref="C4:D4"/>
    <mergeCell ref="G4:K5"/>
    <mergeCell ref="L4:L5"/>
    <mergeCell ref="C5:D5"/>
  </mergeCells>
  <conditionalFormatting sqref="E54:E59 E28:E33 E20:E25 E36:E37 E40:E43 E46:E51">
    <cfRule type="iconSet" priority="2">
      <iconSet iconSet="3Signs">
        <cfvo type="percent" val="0"/>
        <cfvo type="num" val="-20"/>
        <cfvo type="num" val="0"/>
      </iconSet>
    </cfRule>
  </conditionalFormatting>
  <conditionalFormatting sqref="E12:E18">
    <cfRule type="iconSet" priority="1">
      <iconSet iconSet="3Signs">
        <cfvo type="percent" val="0"/>
        <cfvo type="num" val="-20"/>
        <cfvo type="num" val="0"/>
      </iconSet>
    </cfRule>
  </conditionalFormatting>
  <pageMargins left="0.5" right="0.5" top="0.5" bottom="0.5" header="0.5" footer="0.5"/>
  <pageSetup orientation="portrait" r:id="rId1"/>
  <headerFooter alignWithMargins="0"/>
  <ignoredErrors>
    <ignoredError sqref="D28:D32 D40:D42 D46:D50" calculatedColumn="1"/>
  </ignoredErrors>
  <drawing r:id="rId2"/>
  <tableParts count="7">
    <tablePart r:id="rId3"/>
    <tablePart r:id="rId4"/>
    <tablePart r:id="rId5"/>
    <tablePart r:id="rId6"/>
    <tablePart r:id="rId7"/>
    <tablePart r:id="rId8"/>
    <tablePart r:id="rId9"/>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F75"/>
  <sheetViews>
    <sheetView showGridLines="0" workbookViewId="0">
      <pane ySplit="2" topLeftCell="A3" activePane="bottomLeft" state="frozen"/>
      <selection pane="bottomLeft" activeCell="H32" sqref="H32"/>
    </sheetView>
  </sheetViews>
  <sheetFormatPr defaultColWidth="8.7109375" defaultRowHeight="12.75" x14ac:dyDescent="0.2"/>
  <cols>
    <col min="1" max="1" width="1.5703125" customWidth="1"/>
    <col min="2" max="2" width="32.28515625" customWidth="1"/>
    <col min="3" max="3" width="16.42578125" customWidth="1"/>
    <col min="4" max="4" width="13.42578125" customWidth="1"/>
    <col min="5" max="5" width="12.42578125" customWidth="1"/>
    <col min="6" max="6" width="2" customWidth="1"/>
    <col min="7" max="7" width="5.7109375" customWidth="1"/>
    <col min="8" max="8" width="11.42578125" bestFit="1" customWidth="1"/>
    <col min="9" max="9" width="7.42578125" bestFit="1" customWidth="1"/>
    <col min="10" max="10" width="6.5703125" customWidth="1"/>
    <col min="11" max="11" width="13.42578125" customWidth="1"/>
    <col min="12" max="12" width="12.42578125" customWidth="1"/>
    <col min="13" max="13" width="3.28515625" customWidth="1"/>
    <col min="14" max="14" width="11.5703125" bestFit="1" customWidth="1"/>
    <col min="15" max="15" width="7.42578125" bestFit="1" customWidth="1"/>
    <col min="16" max="16" width="2.7109375" customWidth="1"/>
    <col min="17" max="17" width="9.5703125" bestFit="1" customWidth="1"/>
    <col min="18" max="18" width="7.42578125" bestFit="1" customWidth="1"/>
    <col min="19" max="19" width="4.28515625" customWidth="1"/>
    <col min="20" max="20" width="11.42578125" bestFit="1" customWidth="1"/>
    <col min="21" max="21" width="7.42578125" bestFit="1" customWidth="1"/>
    <col min="22" max="22" width="3.7109375" customWidth="1"/>
    <col min="23" max="23" width="14.5703125" bestFit="1" customWidth="1"/>
    <col min="24" max="24" width="7.42578125" bestFit="1" customWidth="1"/>
  </cols>
  <sheetData>
    <row r="1" spans="1:32" ht="8.25" customHeight="1" x14ac:dyDescent="0.6">
      <c r="A1" s="3"/>
      <c r="B1" s="1"/>
      <c r="C1" s="1"/>
      <c r="D1" s="1"/>
      <c r="E1" s="1"/>
      <c r="F1" s="1"/>
      <c r="G1" s="1"/>
      <c r="H1" s="1"/>
      <c r="I1" s="1"/>
      <c r="J1" s="1"/>
      <c r="K1" s="1"/>
      <c r="L1" s="2"/>
    </row>
    <row r="2" spans="1:32" ht="52.15" customHeight="1" x14ac:dyDescent="0.2">
      <c r="A2" s="3"/>
      <c r="B2" s="35"/>
      <c r="C2" s="69" t="str">
        <f>("-  December Monthly Budget")</f>
        <v>-  December Monthly Budget</v>
      </c>
      <c r="E2" s="35"/>
      <c r="F2" s="35"/>
      <c r="G2" s="35"/>
      <c r="H2" s="35"/>
      <c r="I2" s="35"/>
      <c r="J2" s="35"/>
      <c r="K2" s="35"/>
      <c r="L2" s="35"/>
    </row>
    <row r="3" spans="1:32" ht="8.25" customHeight="1" x14ac:dyDescent="0.2">
      <c r="A3" s="2"/>
      <c r="B3" s="98"/>
      <c r="C3" s="98"/>
      <c r="D3" s="98"/>
      <c r="E3" s="4"/>
      <c r="F3" s="5"/>
      <c r="G3" s="4"/>
      <c r="H3" s="6"/>
      <c r="I3" s="6"/>
      <c r="J3" s="6"/>
      <c r="K3" s="7"/>
      <c r="L3" s="8"/>
    </row>
    <row r="4" spans="1:32" ht="16.149999999999999" customHeight="1" x14ac:dyDescent="0.2">
      <c r="A4" s="2"/>
      <c r="B4" s="114" t="s">
        <v>29</v>
      </c>
      <c r="C4" s="105" t="s">
        <v>3</v>
      </c>
      <c r="D4" s="106"/>
      <c r="E4" s="15">
        <f>'Starting Page'!I31</f>
        <v>300</v>
      </c>
      <c r="F4" s="5"/>
      <c r="G4" s="102" t="s">
        <v>34</v>
      </c>
      <c r="H4" s="102"/>
      <c r="I4" s="102"/>
      <c r="J4" s="102"/>
      <c r="K4" s="102"/>
      <c r="L4" s="117">
        <f>E6-E62</f>
        <v>-790</v>
      </c>
      <c r="Y4" s="23"/>
      <c r="Z4" s="23"/>
      <c r="AA4" s="23"/>
      <c r="AB4" s="23"/>
      <c r="AC4" s="23"/>
      <c r="AD4" s="23"/>
      <c r="AE4" s="23"/>
      <c r="AF4" s="23"/>
    </row>
    <row r="5" spans="1:32" ht="16.149999999999999" customHeight="1" x14ac:dyDescent="0.2">
      <c r="A5" s="2"/>
      <c r="B5" s="115"/>
      <c r="C5" s="105" t="s">
        <v>18</v>
      </c>
      <c r="D5" s="106"/>
      <c r="E5" s="15"/>
      <c r="F5" s="5"/>
      <c r="G5" s="102"/>
      <c r="H5" s="102"/>
      <c r="I5" s="102"/>
      <c r="J5" s="102"/>
      <c r="K5" s="102"/>
      <c r="L5" s="117"/>
      <c r="Q5" s="99"/>
      <c r="R5" s="99"/>
      <c r="S5" s="44"/>
      <c r="T5" s="99"/>
      <c r="U5" s="99"/>
      <c r="V5" s="44"/>
      <c r="W5" s="99"/>
      <c r="X5" s="99"/>
      <c r="Y5" s="44"/>
      <c r="Z5" s="23"/>
      <c r="AA5" s="23"/>
      <c r="AB5" s="23"/>
      <c r="AC5" s="23"/>
      <c r="AD5" s="23"/>
      <c r="AE5" s="23"/>
      <c r="AF5" s="23"/>
    </row>
    <row r="6" spans="1:32" ht="16.149999999999999" customHeight="1" x14ac:dyDescent="0.2">
      <c r="A6" s="2"/>
      <c r="B6" s="116"/>
      <c r="C6" s="100" t="s">
        <v>19</v>
      </c>
      <c r="D6" s="101"/>
      <c r="E6" s="66">
        <f>SUM(E4:E5)</f>
        <v>300</v>
      </c>
      <c r="F6" s="5"/>
      <c r="G6" s="102" t="s">
        <v>35</v>
      </c>
      <c r="H6" s="102"/>
      <c r="I6" s="102"/>
      <c r="J6" s="102"/>
      <c r="K6" s="102"/>
      <c r="L6" s="117">
        <f>E9-E64</f>
        <v>0</v>
      </c>
      <c r="Q6" s="44"/>
      <c r="R6" s="44"/>
      <c r="S6" s="44"/>
      <c r="T6" s="44"/>
      <c r="U6" s="44"/>
      <c r="V6" s="44"/>
      <c r="W6" s="44"/>
      <c r="X6" s="44"/>
      <c r="Y6" s="44"/>
      <c r="Z6" s="23"/>
      <c r="AA6" s="23"/>
      <c r="AB6" s="23"/>
      <c r="AC6" s="23"/>
      <c r="AD6" s="23"/>
      <c r="AE6" s="23"/>
      <c r="AF6" s="23"/>
    </row>
    <row r="7" spans="1:32" ht="16.149999999999999" customHeight="1" x14ac:dyDescent="0.2">
      <c r="A7" s="2"/>
      <c r="B7" s="114" t="s">
        <v>28</v>
      </c>
      <c r="C7" s="105" t="s">
        <v>3</v>
      </c>
      <c r="D7" s="106"/>
      <c r="E7" s="15">
        <f>I23</f>
        <v>0</v>
      </c>
      <c r="F7" s="5"/>
      <c r="G7" s="102"/>
      <c r="H7" s="102"/>
      <c r="I7" s="102"/>
      <c r="J7" s="102"/>
      <c r="K7" s="102"/>
      <c r="L7" s="117"/>
      <c r="P7" s="34"/>
      <c r="Q7" s="44"/>
      <c r="R7" s="44"/>
      <c r="S7" s="44"/>
      <c r="T7" s="44"/>
      <c r="U7" s="44"/>
      <c r="V7" s="44"/>
      <c r="W7" s="44"/>
      <c r="X7" s="44"/>
      <c r="Y7" s="44"/>
    </row>
    <row r="8" spans="1:32" ht="16.149999999999999" customHeight="1" x14ac:dyDescent="0.2">
      <c r="A8" s="2"/>
      <c r="B8" s="115"/>
      <c r="C8" s="105" t="s">
        <v>18</v>
      </c>
      <c r="D8" s="106"/>
      <c r="E8" s="15"/>
      <c r="F8" s="5"/>
      <c r="G8" s="102" t="s">
        <v>36</v>
      </c>
      <c r="H8" s="102"/>
      <c r="I8" s="102"/>
      <c r="J8" s="102"/>
      <c r="K8" s="102"/>
      <c r="L8" s="117">
        <f>L6-L4</f>
        <v>790</v>
      </c>
      <c r="Q8" s="44"/>
      <c r="R8" s="44"/>
      <c r="S8" s="44"/>
      <c r="T8" s="44"/>
      <c r="U8" s="44"/>
      <c r="V8" s="44"/>
      <c r="W8" s="44"/>
      <c r="X8" s="44"/>
      <c r="Y8" s="44"/>
    </row>
    <row r="9" spans="1:32" ht="16.149999999999999" customHeight="1" x14ac:dyDescent="0.2">
      <c r="A9" s="2"/>
      <c r="B9" s="116"/>
      <c r="C9" s="100" t="s">
        <v>19</v>
      </c>
      <c r="D9" s="101"/>
      <c r="E9" s="66">
        <f>SUM(E7:E8)</f>
        <v>0</v>
      </c>
      <c r="F9" s="5"/>
      <c r="G9" s="102"/>
      <c r="H9" s="102"/>
      <c r="I9" s="102"/>
      <c r="J9" s="102"/>
      <c r="K9" s="102"/>
      <c r="L9" s="117"/>
      <c r="Q9" s="60"/>
      <c r="R9" s="61"/>
      <c r="S9" s="44"/>
      <c r="T9" s="60"/>
      <c r="U9" s="61"/>
      <c r="V9" s="44"/>
      <c r="W9" s="60"/>
      <c r="X9" s="61"/>
      <c r="Y9" s="44"/>
    </row>
    <row r="10" spans="1:32" ht="16.149999999999999" customHeight="1" thickBot="1" x14ac:dyDescent="0.25">
      <c r="A10" s="2"/>
      <c r="B10" s="68"/>
      <c r="C10" s="68"/>
      <c r="D10" s="9"/>
      <c r="E10" s="10"/>
      <c r="F10" s="5"/>
      <c r="G10" s="11"/>
      <c r="H10" s="11"/>
      <c r="I10" s="11"/>
      <c r="J10" s="11"/>
      <c r="K10" s="11"/>
      <c r="L10" s="12"/>
      <c r="R10" s="23"/>
    </row>
    <row r="11" spans="1:32" ht="16.149999999999999" customHeight="1" thickBot="1" x14ac:dyDescent="0.25">
      <c r="A11" s="2"/>
      <c r="B11" s="16" t="s">
        <v>80</v>
      </c>
      <c r="C11" s="17" t="s">
        <v>0</v>
      </c>
      <c r="D11" s="17" t="s">
        <v>1</v>
      </c>
      <c r="E11" s="18" t="s">
        <v>2</v>
      </c>
      <c r="F11" s="5"/>
      <c r="G11" s="11"/>
      <c r="H11" s="92" t="s">
        <v>42</v>
      </c>
      <c r="I11" s="94"/>
      <c r="J11" s="11"/>
      <c r="K11" s="139" t="s">
        <v>104</v>
      </c>
      <c r="L11" s="140"/>
      <c r="M11" s="140"/>
      <c r="N11" s="140"/>
      <c r="O11" s="140"/>
      <c r="P11" s="140"/>
      <c r="Q11" s="140"/>
      <c r="R11" s="140"/>
      <c r="S11" s="140"/>
      <c r="T11" s="140"/>
      <c r="U11" s="140"/>
      <c r="V11" s="140"/>
      <c r="W11" s="140"/>
      <c r="X11" s="141"/>
    </row>
    <row r="12" spans="1:32" ht="16.149999999999999" customHeight="1" thickBot="1" x14ac:dyDescent="0.25">
      <c r="A12" s="2"/>
      <c r="B12" s="22" t="s">
        <v>50</v>
      </c>
      <c r="C12" s="19">
        <v>0</v>
      </c>
      <c r="D12" s="19">
        <f>L16</f>
        <v>0</v>
      </c>
      <c r="E12" s="20">
        <f>Table114385062748698291623[Projected Cost]-Table114385062748698291623[Actual Cost]</f>
        <v>0</v>
      </c>
      <c r="F12" s="5"/>
      <c r="H12" s="24" t="s">
        <v>38</v>
      </c>
      <c r="I12" s="25" t="s">
        <v>46</v>
      </c>
      <c r="J12" s="41"/>
      <c r="K12" s="148" t="s">
        <v>50</v>
      </c>
      <c r="L12" s="149"/>
      <c r="M12" s="44"/>
      <c r="N12" s="148" t="s">
        <v>51</v>
      </c>
      <c r="O12" s="149"/>
      <c r="P12" s="44"/>
      <c r="Q12" s="150" t="s">
        <v>54</v>
      </c>
      <c r="R12" s="151"/>
      <c r="S12" s="44"/>
      <c r="T12" s="148" t="s">
        <v>5</v>
      </c>
      <c r="U12" s="149"/>
      <c r="V12" s="44"/>
      <c r="W12" s="148" t="s">
        <v>6</v>
      </c>
      <c r="X12" s="149"/>
    </row>
    <row r="13" spans="1:32" ht="16.149999999999999" customHeight="1" thickBot="1" x14ac:dyDescent="0.25">
      <c r="A13" s="2"/>
      <c r="B13" s="22" t="s">
        <v>51</v>
      </c>
      <c r="C13" s="19">
        <v>0</v>
      </c>
      <c r="D13" s="19">
        <f>O16</f>
        <v>0</v>
      </c>
      <c r="E13" s="20">
        <f>Table114385062748698291623[Projected Cost]-Table114385062748698291623[Actual Cost]</f>
        <v>0</v>
      </c>
      <c r="F13" s="5"/>
      <c r="H13" s="26" t="s">
        <v>44</v>
      </c>
      <c r="I13" s="27"/>
      <c r="J13" s="42"/>
      <c r="K13" s="45" t="s">
        <v>38</v>
      </c>
      <c r="L13" s="46" t="s">
        <v>46</v>
      </c>
      <c r="M13" s="44"/>
      <c r="N13" s="45" t="s">
        <v>38</v>
      </c>
      <c r="O13" s="46" t="s">
        <v>46</v>
      </c>
      <c r="P13" s="44"/>
      <c r="Q13" s="45" t="s">
        <v>38</v>
      </c>
      <c r="R13" s="46" t="s">
        <v>46</v>
      </c>
      <c r="S13" s="44"/>
      <c r="T13" s="45" t="s">
        <v>38</v>
      </c>
      <c r="U13" s="46" t="s">
        <v>46</v>
      </c>
      <c r="V13" s="44"/>
      <c r="W13" s="45" t="s">
        <v>38</v>
      </c>
      <c r="X13" s="46" t="s">
        <v>46</v>
      </c>
    </row>
    <row r="14" spans="1:32" ht="16.149999999999999" customHeight="1" x14ac:dyDescent="0.2">
      <c r="A14" s="2"/>
      <c r="B14" s="22" t="s">
        <v>52</v>
      </c>
      <c r="C14" s="19">
        <v>0</v>
      </c>
      <c r="D14" s="19">
        <f>R22</f>
        <v>0</v>
      </c>
      <c r="E14" s="20">
        <f>Table114385062748698291623[Projected Cost]-Table114385062748698291623[Actual Cost]</f>
        <v>0</v>
      </c>
      <c r="F14" s="5"/>
      <c r="H14" s="26"/>
      <c r="I14" s="27"/>
      <c r="J14" s="42"/>
      <c r="K14" s="47" t="s">
        <v>53</v>
      </c>
      <c r="L14" s="48"/>
      <c r="M14" s="44"/>
      <c r="N14" s="47" t="s">
        <v>56</v>
      </c>
      <c r="O14" s="48"/>
      <c r="P14" s="44"/>
      <c r="Q14" s="47" t="s">
        <v>55</v>
      </c>
      <c r="R14" s="48"/>
      <c r="S14" s="44"/>
      <c r="T14" s="47" t="s">
        <v>57</v>
      </c>
      <c r="U14" s="48"/>
      <c r="V14" s="44"/>
      <c r="W14" s="47"/>
      <c r="X14" s="48"/>
    </row>
    <row r="15" spans="1:32" ht="16.149999999999999" customHeight="1" thickBot="1" x14ac:dyDescent="0.25">
      <c r="A15" s="2"/>
      <c r="B15" s="22" t="s">
        <v>5</v>
      </c>
      <c r="C15" s="19">
        <v>50</v>
      </c>
      <c r="D15" s="19">
        <f>U22</f>
        <v>0</v>
      </c>
      <c r="E15" s="20">
        <f>Table114385062748698291623[Projected Cost]-Table114385062748698291623[Actual Cost]</f>
        <v>50</v>
      </c>
      <c r="F15" s="5"/>
      <c r="H15" s="26"/>
      <c r="I15" s="27"/>
      <c r="J15" s="42"/>
      <c r="K15" s="47"/>
      <c r="L15" s="48"/>
      <c r="M15" s="44"/>
      <c r="N15" s="47"/>
      <c r="O15" s="48"/>
      <c r="P15" s="44"/>
      <c r="Q15" s="47"/>
      <c r="R15" s="48"/>
      <c r="S15" s="44"/>
      <c r="T15" s="47"/>
      <c r="U15" s="48"/>
      <c r="V15" s="44"/>
      <c r="W15" s="47"/>
      <c r="X15" s="48"/>
    </row>
    <row r="16" spans="1:32" ht="16.149999999999999" customHeight="1" thickBot="1" x14ac:dyDescent="0.25">
      <c r="A16" s="2"/>
      <c r="B16" s="22" t="s">
        <v>6</v>
      </c>
      <c r="C16" s="19">
        <v>50</v>
      </c>
      <c r="D16" s="19">
        <f>X18</f>
        <v>0</v>
      </c>
      <c r="E16" s="20">
        <f>Table114385062748698291623[Projected Cost]-Table114385062748698291623[Actual Cost]</f>
        <v>50</v>
      </c>
      <c r="F16" s="5"/>
      <c r="H16" s="26"/>
      <c r="I16" s="27"/>
      <c r="J16" s="42"/>
      <c r="K16" s="49" t="s">
        <v>33</v>
      </c>
      <c r="L16" s="50">
        <f>SUM(L14:L15)</f>
        <v>0</v>
      </c>
      <c r="M16" s="44"/>
      <c r="N16" s="49" t="s">
        <v>33</v>
      </c>
      <c r="O16" s="50">
        <f>SUM(O14:O15)</f>
        <v>0</v>
      </c>
      <c r="P16" s="44"/>
      <c r="Q16" s="47"/>
      <c r="R16" s="48"/>
      <c r="S16" s="44"/>
      <c r="T16" s="47"/>
      <c r="U16" s="48"/>
      <c r="V16" s="44"/>
      <c r="W16" s="47"/>
      <c r="X16" s="48"/>
    </row>
    <row r="17" spans="1:24" ht="16.149999999999999" customHeight="1" thickBot="1" x14ac:dyDescent="0.25">
      <c r="A17" s="2"/>
      <c r="B17" s="16" t="s">
        <v>33</v>
      </c>
      <c r="C17" s="19">
        <f>SUBTOTAL(109,Table114385062748698291623[Projected Cost])</f>
        <v>100</v>
      </c>
      <c r="D17" s="19">
        <f>SUBTOTAL(109,Table114385062748698291623[Actual Cost])</f>
        <v>0</v>
      </c>
      <c r="E17" s="21">
        <f>SUBTOTAL(109,Table114385062748698291623[Difference])</f>
        <v>100</v>
      </c>
      <c r="F17" s="5"/>
      <c r="H17" s="28"/>
      <c r="I17" s="29"/>
      <c r="J17" s="42"/>
      <c r="K17" s="51"/>
      <c r="L17" s="44"/>
      <c r="M17" s="44"/>
      <c r="N17" s="44"/>
      <c r="O17" s="44"/>
      <c r="P17" s="44"/>
      <c r="Q17" s="47"/>
      <c r="R17" s="48"/>
      <c r="S17" s="44"/>
      <c r="T17" s="47"/>
      <c r="U17" s="48"/>
      <c r="V17" s="44"/>
      <c r="W17" s="47"/>
      <c r="X17" s="48"/>
    </row>
    <row r="18" spans="1:24" ht="16.149999999999999" customHeight="1" thickBot="1" x14ac:dyDescent="0.25">
      <c r="A18" s="2"/>
      <c r="B18" s="16"/>
      <c r="C18" s="19"/>
      <c r="D18" s="19"/>
      <c r="E18" s="21"/>
      <c r="F18" s="5"/>
      <c r="H18" s="28"/>
      <c r="I18" s="29"/>
      <c r="J18" s="42"/>
      <c r="K18" s="52"/>
      <c r="L18" s="53"/>
      <c r="M18" s="44"/>
      <c r="N18" s="44"/>
      <c r="O18" s="44"/>
      <c r="P18" s="44"/>
      <c r="Q18" s="47"/>
      <c r="R18" s="48"/>
      <c r="S18" s="44"/>
      <c r="T18" s="47"/>
      <c r="U18" s="48"/>
      <c r="V18" s="44"/>
      <c r="W18" s="49" t="s">
        <v>33</v>
      </c>
      <c r="X18" s="50">
        <f>SUM(X14:X17)</f>
        <v>0</v>
      </c>
    </row>
    <row r="19" spans="1:24" ht="16.149999999999999" customHeight="1" x14ac:dyDescent="0.2">
      <c r="A19" s="2"/>
      <c r="B19" s="16" t="s">
        <v>22</v>
      </c>
      <c r="C19" s="17" t="s">
        <v>0</v>
      </c>
      <c r="D19" s="17" t="s">
        <v>1</v>
      </c>
      <c r="E19" s="18" t="s">
        <v>2</v>
      </c>
      <c r="F19" s="14"/>
      <c r="H19" s="28"/>
      <c r="I19" s="29"/>
      <c r="J19" s="42"/>
      <c r="K19" s="52"/>
      <c r="L19" s="53"/>
      <c r="M19" s="44"/>
      <c r="N19" s="44"/>
      <c r="O19" s="44"/>
      <c r="P19" s="44"/>
      <c r="Q19" s="47"/>
      <c r="R19" s="48"/>
      <c r="S19" s="44"/>
      <c r="T19" s="47"/>
      <c r="U19" s="48"/>
      <c r="V19" s="44"/>
      <c r="W19" s="44"/>
      <c r="X19" s="54"/>
    </row>
    <row r="20" spans="1:24" ht="15.75" customHeight="1" x14ac:dyDescent="0.2">
      <c r="A20" s="2"/>
      <c r="B20" s="22" t="s">
        <v>48</v>
      </c>
      <c r="C20" s="19">
        <f>IF('Starting Page'!I24="Yes",'Starting Page'!I25/8,IF('Starting Page'!I27="Yes",'Starting Page'!I28,0))</f>
        <v>0</v>
      </c>
      <c r="D20" s="19">
        <f>L29</f>
        <v>0</v>
      </c>
      <c r="E20" s="20">
        <f>Table11438506274869831017[Projected Cost]-Table11438506274869831017[Actual Cost]</f>
        <v>0</v>
      </c>
      <c r="F20" s="67"/>
      <c r="H20" s="28"/>
      <c r="I20" s="29"/>
      <c r="J20" s="42"/>
      <c r="K20" s="51"/>
      <c r="L20" s="44"/>
      <c r="M20" s="44"/>
      <c r="N20" s="44"/>
      <c r="O20" s="44"/>
      <c r="P20" s="44"/>
      <c r="Q20" s="47"/>
      <c r="R20" s="48"/>
      <c r="S20" s="44"/>
      <c r="T20" s="47"/>
      <c r="U20" s="48"/>
      <c r="V20" s="44"/>
      <c r="W20" s="44"/>
      <c r="X20" s="54"/>
    </row>
    <row r="21" spans="1:24" ht="15.75" customHeight="1" thickBot="1" x14ac:dyDescent="0.25">
      <c r="A21" s="2"/>
      <c r="B21" s="22" t="s">
        <v>4</v>
      </c>
      <c r="C21" s="19">
        <v>70</v>
      </c>
      <c r="D21" s="19">
        <f>O29</f>
        <v>0</v>
      </c>
      <c r="E21" s="20">
        <f>Table11438506274869831017[Projected Cost]-Table11438506274869831017[Actual Cost]</f>
        <v>70</v>
      </c>
      <c r="F21" s="67"/>
      <c r="H21" s="28"/>
      <c r="I21" s="29"/>
      <c r="J21" s="42"/>
      <c r="K21" s="51"/>
      <c r="L21" s="44"/>
      <c r="M21" s="44"/>
      <c r="N21" s="44"/>
      <c r="O21" s="44"/>
      <c r="P21" s="44"/>
      <c r="Q21" s="47"/>
      <c r="R21" s="48"/>
      <c r="S21" s="44"/>
      <c r="T21" s="47"/>
      <c r="U21" s="48"/>
      <c r="V21" s="44"/>
      <c r="W21" s="44"/>
      <c r="X21" s="54"/>
    </row>
    <row r="22" spans="1:24" ht="15.75" customHeight="1" thickBot="1" x14ac:dyDescent="0.25">
      <c r="A22" s="2"/>
      <c r="B22" s="22" t="s">
        <v>47</v>
      </c>
      <c r="C22" s="19">
        <v>20</v>
      </c>
      <c r="D22" s="19">
        <f>R29</f>
        <v>0</v>
      </c>
      <c r="E22" s="20">
        <f>Table11438506274869831017[Projected Cost]-Table11438506274869831017[Actual Cost]</f>
        <v>20</v>
      </c>
      <c r="F22" s="67"/>
      <c r="H22" s="28"/>
      <c r="I22" s="29"/>
      <c r="J22" s="42"/>
      <c r="K22" s="55"/>
      <c r="L22" s="56"/>
      <c r="M22" s="56"/>
      <c r="N22" s="56"/>
      <c r="O22" s="56"/>
      <c r="P22" s="56"/>
      <c r="Q22" s="49" t="s">
        <v>33</v>
      </c>
      <c r="R22" s="50">
        <f>SUM(R14:R21)</f>
        <v>0</v>
      </c>
      <c r="S22" s="56"/>
      <c r="T22" s="49" t="s">
        <v>33</v>
      </c>
      <c r="U22" s="50">
        <f>SUM(U14:U21)</f>
        <v>0</v>
      </c>
      <c r="V22" s="56"/>
      <c r="W22" s="56"/>
      <c r="X22" s="57"/>
    </row>
    <row r="23" spans="1:24" ht="15.75" customHeight="1" thickBot="1" x14ac:dyDescent="0.25">
      <c r="A23" s="2"/>
      <c r="B23" s="22" t="s">
        <v>37</v>
      </c>
      <c r="C23" s="19">
        <v>20</v>
      </c>
      <c r="D23" s="19">
        <f>U29</f>
        <v>0</v>
      </c>
      <c r="E23" s="20">
        <f>Table11438506274869831017[Projected Cost]-Table11438506274869831017[Actual Cost]</f>
        <v>20</v>
      </c>
      <c r="F23" s="67"/>
      <c r="H23" s="36" t="s">
        <v>33</v>
      </c>
      <c r="I23" s="30">
        <f>SUM(I13:I22)</f>
        <v>0</v>
      </c>
      <c r="J23" s="42"/>
      <c r="U23" s="23"/>
    </row>
    <row r="24" spans="1:24" ht="15.75" customHeight="1" thickBot="1" x14ac:dyDescent="0.25">
      <c r="A24" s="2"/>
      <c r="B24" s="22" t="s">
        <v>6</v>
      </c>
      <c r="C24" s="19">
        <v>50</v>
      </c>
      <c r="D24" s="19">
        <f>X29</f>
        <v>0</v>
      </c>
      <c r="E24" s="20">
        <f>Table11438506274869831017[Projected Cost]-Table11438506274869831017[Actual Cost]</f>
        <v>50</v>
      </c>
      <c r="F24" s="67"/>
      <c r="I24" s="43"/>
      <c r="J24" s="42"/>
      <c r="K24" s="139" t="s">
        <v>58</v>
      </c>
      <c r="L24" s="140"/>
      <c r="M24" s="140"/>
      <c r="N24" s="140"/>
      <c r="O24" s="140"/>
      <c r="P24" s="140"/>
      <c r="Q24" s="140"/>
      <c r="R24" s="140"/>
      <c r="S24" s="140"/>
      <c r="T24" s="140"/>
      <c r="U24" s="140"/>
      <c r="V24" s="140"/>
      <c r="W24" s="140"/>
      <c r="X24" s="141"/>
    </row>
    <row r="25" spans="1:24" ht="15.75" customHeight="1" thickBot="1" x14ac:dyDescent="0.25">
      <c r="A25" s="2"/>
      <c r="B25" s="16" t="s">
        <v>33</v>
      </c>
      <c r="C25" s="19">
        <f>SUBTOTAL(109,Table11438506274869831017[Projected Cost])</f>
        <v>160</v>
      </c>
      <c r="D25" s="19">
        <f>SUBTOTAL(109,Table11438506274869831017[Actual Cost])</f>
        <v>0</v>
      </c>
      <c r="E25" s="21">
        <f>SUBTOTAL(109,Table11438506274869831017[Difference])</f>
        <v>160</v>
      </c>
      <c r="F25" s="67"/>
      <c r="J25" s="42"/>
      <c r="K25" s="148" t="s">
        <v>48</v>
      </c>
      <c r="L25" s="149"/>
      <c r="M25" s="44"/>
      <c r="N25" s="148" t="s">
        <v>4</v>
      </c>
      <c r="O25" s="149"/>
      <c r="P25" s="44"/>
      <c r="Q25" s="148" t="s">
        <v>47</v>
      </c>
      <c r="R25" s="149"/>
      <c r="S25" s="44"/>
      <c r="T25" s="148" t="s">
        <v>37</v>
      </c>
      <c r="U25" s="149"/>
      <c r="V25" s="44"/>
      <c r="W25" s="148" t="s">
        <v>6</v>
      </c>
      <c r="X25" s="149"/>
    </row>
    <row r="26" spans="1:24" ht="15.75" customHeight="1" thickBot="1" x14ac:dyDescent="0.25">
      <c r="A26" s="2"/>
      <c r="B26" s="113"/>
      <c r="C26" s="113"/>
      <c r="D26" s="113"/>
      <c r="E26" s="113"/>
      <c r="F26" s="67"/>
      <c r="J26" s="42"/>
      <c r="K26" s="45" t="s">
        <v>38</v>
      </c>
      <c r="L26" s="46" t="s">
        <v>46</v>
      </c>
      <c r="M26" s="44"/>
      <c r="N26" s="45" t="s">
        <v>38</v>
      </c>
      <c r="O26" s="46" t="s">
        <v>46</v>
      </c>
      <c r="P26" s="44"/>
      <c r="Q26" s="45" t="s">
        <v>38</v>
      </c>
      <c r="R26" s="46" t="s">
        <v>46</v>
      </c>
      <c r="S26" s="44"/>
      <c r="T26" s="45" t="s">
        <v>38</v>
      </c>
      <c r="U26" s="46" t="s">
        <v>46</v>
      </c>
      <c r="V26" s="44"/>
      <c r="W26" s="45" t="s">
        <v>38</v>
      </c>
      <c r="X26" s="46" t="s">
        <v>46</v>
      </c>
    </row>
    <row r="27" spans="1:24" ht="15.75" customHeight="1" x14ac:dyDescent="0.2">
      <c r="A27" s="2"/>
      <c r="B27" s="16" t="s">
        <v>24</v>
      </c>
      <c r="C27" s="17" t="s">
        <v>0</v>
      </c>
      <c r="D27" s="17" t="s">
        <v>1</v>
      </c>
      <c r="E27" s="18" t="s">
        <v>2</v>
      </c>
      <c r="F27" s="67"/>
      <c r="J27" s="42"/>
      <c r="K27" s="47" t="s">
        <v>48</v>
      </c>
      <c r="L27" s="48"/>
      <c r="M27" s="44"/>
      <c r="N27" s="47" t="s">
        <v>59</v>
      </c>
      <c r="O27" s="48"/>
      <c r="P27" s="44"/>
      <c r="Q27" s="47" t="s">
        <v>60</v>
      </c>
      <c r="R27" s="48"/>
      <c r="S27" s="44"/>
      <c r="T27" s="47" t="s">
        <v>59</v>
      </c>
      <c r="U27" s="48"/>
      <c r="V27" s="44"/>
      <c r="W27" s="47" t="s">
        <v>61</v>
      </c>
      <c r="X27" s="48"/>
    </row>
    <row r="28" spans="1:24" ht="15.75" customHeight="1" thickBot="1" x14ac:dyDescent="0.25">
      <c r="A28" s="2"/>
      <c r="B28" s="22" t="s">
        <v>20</v>
      </c>
      <c r="C28" s="19">
        <v>0</v>
      </c>
      <c r="D28" s="19">
        <f>L36</f>
        <v>0</v>
      </c>
      <c r="E28" s="20">
        <f>Table321455769819310561320[Projected Cost]-Table321455769819310561320[Actual Cost]</f>
        <v>0</v>
      </c>
      <c r="F28" s="67"/>
      <c r="J28" s="43"/>
      <c r="K28" s="47"/>
      <c r="L28" s="48"/>
      <c r="M28" s="44"/>
      <c r="N28" s="47"/>
      <c r="O28" s="48"/>
      <c r="P28" s="44"/>
      <c r="Q28" s="47"/>
      <c r="R28" s="48"/>
      <c r="S28" s="44"/>
      <c r="T28" s="47"/>
      <c r="U28" s="48"/>
      <c r="V28" s="44"/>
      <c r="W28" s="47"/>
      <c r="X28" s="48"/>
    </row>
    <row r="29" spans="1:24" ht="15.75" customHeight="1" thickBot="1" x14ac:dyDescent="0.25">
      <c r="A29" s="2"/>
      <c r="B29" s="22" t="s">
        <v>7</v>
      </c>
      <c r="C29" s="19">
        <v>0</v>
      </c>
      <c r="D29" s="19">
        <f>O36</f>
        <v>0</v>
      </c>
      <c r="E29" s="20">
        <f>Table321455769819310561320[Projected Cost]-Table321455769819310561320[Actual Cost]</f>
        <v>0</v>
      </c>
      <c r="F29" s="67"/>
      <c r="K29" s="49" t="s">
        <v>33</v>
      </c>
      <c r="L29" s="50">
        <f>SUM(L27:L28)</f>
        <v>0</v>
      </c>
      <c r="M29" s="56"/>
      <c r="N29" s="49" t="s">
        <v>33</v>
      </c>
      <c r="O29" s="50">
        <f>SUM(O27:O28)</f>
        <v>0</v>
      </c>
      <c r="P29" s="56"/>
      <c r="Q29" s="49" t="s">
        <v>33</v>
      </c>
      <c r="R29" s="50">
        <f>SUM(R27:R28)</f>
        <v>0</v>
      </c>
      <c r="S29" s="56"/>
      <c r="T29" s="49" t="s">
        <v>33</v>
      </c>
      <c r="U29" s="50">
        <f>SUM(U27:U28)</f>
        <v>0</v>
      </c>
      <c r="V29" s="56"/>
      <c r="W29" s="49" t="s">
        <v>33</v>
      </c>
      <c r="X29" s="50">
        <f>SUM(X27:X28)</f>
        <v>0</v>
      </c>
    </row>
    <row r="30" spans="1:24" ht="15.75" customHeight="1" thickBot="1" x14ac:dyDescent="0.25">
      <c r="A30" s="2"/>
      <c r="B30" s="22" t="s">
        <v>8</v>
      </c>
      <c r="C30" s="19">
        <v>0</v>
      </c>
      <c r="D30" s="19">
        <f>R40</f>
        <v>0</v>
      </c>
      <c r="E30" s="20">
        <f>Table321455769819310561320[Projected Cost]-Table321455769819310561320[Actual Cost]</f>
        <v>0</v>
      </c>
      <c r="F30" s="67"/>
      <c r="K30" s="44"/>
      <c r="L30" s="44"/>
      <c r="M30" s="44"/>
      <c r="N30" s="44"/>
      <c r="O30" s="44"/>
      <c r="P30" s="44"/>
      <c r="Q30" s="58"/>
      <c r="R30" s="58"/>
      <c r="S30" s="58"/>
      <c r="T30" s="58"/>
      <c r="U30" s="58"/>
      <c r="V30" s="44"/>
      <c r="W30" s="44"/>
      <c r="X30" s="44"/>
    </row>
    <row r="31" spans="1:24" ht="15.75" customHeight="1" thickBot="1" x14ac:dyDescent="0.25">
      <c r="A31" s="2"/>
      <c r="B31" s="22" t="s">
        <v>9</v>
      </c>
      <c r="C31" s="19">
        <v>0</v>
      </c>
      <c r="D31" s="19">
        <f>U38</f>
        <v>0</v>
      </c>
      <c r="E31" s="20">
        <f>Table321455769819310561320[Projected Cost]-Table321455769819310561320[Actual Cost]</f>
        <v>0</v>
      </c>
      <c r="F31" s="67"/>
      <c r="K31" s="139" t="s">
        <v>63</v>
      </c>
      <c r="L31" s="140"/>
      <c r="M31" s="140"/>
      <c r="N31" s="140"/>
      <c r="O31" s="140"/>
      <c r="P31" s="140"/>
      <c r="Q31" s="140"/>
      <c r="R31" s="140"/>
      <c r="S31" s="140"/>
      <c r="T31" s="140"/>
      <c r="U31" s="140"/>
      <c r="V31" s="140"/>
      <c r="W31" s="140"/>
      <c r="X31" s="141"/>
    </row>
    <row r="32" spans="1:24" ht="15.75" customHeight="1" thickBot="1" x14ac:dyDescent="0.25">
      <c r="A32" s="2"/>
      <c r="B32" s="22" t="s">
        <v>62</v>
      </c>
      <c r="C32" s="19">
        <v>50</v>
      </c>
      <c r="D32" s="19">
        <f>X40</f>
        <v>0</v>
      </c>
      <c r="E32" s="20">
        <f>Table321455769819310561320[Projected Cost]-Table321455769819310561320[Actual Cost]</f>
        <v>50</v>
      </c>
      <c r="F32" s="67"/>
      <c r="K32" s="148" t="s">
        <v>39</v>
      </c>
      <c r="L32" s="149"/>
      <c r="M32" s="44"/>
      <c r="N32" s="148" t="s">
        <v>7</v>
      </c>
      <c r="O32" s="149"/>
      <c r="P32" s="44"/>
      <c r="Q32" s="148" t="s">
        <v>8</v>
      </c>
      <c r="R32" s="149"/>
      <c r="S32" s="44"/>
      <c r="T32" s="148" t="s">
        <v>9</v>
      </c>
      <c r="U32" s="149"/>
      <c r="V32" s="44"/>
      <c r="W32" s="148" t="s">
        <v>62</v>
      </c>
      <c r="X32" s="149"/>
    </row>
    <row r="33" spans="1:24" ht="15.75" customHeight="1" thickBot="1" x14ac:dyDescent="0.25">
      <c r="A33" s="2"/>
      <c r="B33" s="16" t="s">
        <v>33</v>
      </c>
      <c r="C33" s="19">
        <f>SUBTOTAL(109,Table321455769819310561320[Projected Cost])</f>
        <v>50</v>
      </c>
      <c r="D33" s="19">
        <f>SUBTOTAL(109,Table321455769819310561320[Actual Cost])</f>
        <v>0</v>
      </c>
      <c r="E33" s="21">
        <f>SUBTOTAL(109,Table321455769819310561320[Difference])</f>
        <v>50</v>
      </c>
      <c r="F33" s="67"/>
      <c r="K33" s="45" t="s">
        <v>38</v>
      </c>
      <c r="L33" s="46" t="s">
        <v>46</v>
      </c>
      <c r="M33" s="44"/>
      <c r="N33" s="45" t="s">
        <v>38</v>
      </c>
      <c r="O33" s="46" t="s">
        <v>46</v>
      </c>
      <c r="P33" s="44"/>
      <c r="Q33" s="45" t="s">
        <v>38</v>
      </c>
      <c r="R33" s="46" t="s">
        <v>46</v>
      </c>
      <c r="S33" s="44"/>
      <c r="T33" s="45" t="s">
        <v>38</v>
      </c>
      <c r="U33" s="46" t="s">
        <v>46</v>
      </c>
      <c r="V33" s="44"/>
      <c r="W33" s="45" t="s">
        <v>38</v>
      </c>
      <c r="X33" s="46" t="s">
        <v>46</v>
      </c>
    </row>
    <row r="34" spans="1:24" ht="15.75" customHeight="1" x14ac:dyDescent="0.2">
      <c r="A34" s="2"/>
      <c r="B34" s="113"/>
      <c r="C34" s="113"/>
      <c r="D34" s="113"/>
      <c r="E34" s="113"/>
      <c r="F34" s="67"/>
      <c r="K34" s="47" t="s">
        <v>64</v>
      </c>
      <c r="L34" s="48"/>
      <c r="M34" s="44"/>
      <c r="N34" s="47" t="s">
        <v>59</v>
      </c>
      <c r="O34" s="48"/>
      <c r="P34" s="44"/>
      <c r="Q34" s="47" t="s">
        <v>65</v>
      </c>
      <c r="R34" s="48"/>
      <c r="S34" s="44"/>
      <c r="T34" s="47" t="s">
        <v>67</v>
      </c>
      <c r="U34" s="48"/>
      <c r="V34" s="44"/>
      <c r="W34" s="47" t="s">
        <v>66</v>
      </c>
      <c r="X34" s="48"/>
    </row>
    <row r="35" spans="1:24" ht="15.75" customHeight="1" thickBot="1" x14ac:dyDescent="0.25">
      <c r="A35" s="2"/>
      <c r="B35" s="16" t="s">
        <v>25</v>
      </c>
      <c r="C35" s="17" t="s">
        <v>0</v>
      </c>
      <c r="D35" s="17" t="s">
        <v>1</v>
      </c>
      <c r="E35" s="18" t="s">
        <v>2</v>
      </c>
      <c r="F35" s="67"/>
      <c r="K35" s="47"/>
      <c r="L35" s="48"/>
      <c r="M35" s="44"/>
      <c r="N35" s="47"/>
      <c r="O35" s="48"/>
      <c r="P35" s="44"/>
      <c r="Q35" s="47"/>
      <c r="R35" s="48"/>
      <c r="S35" s="44"/>
      <c r="T35" s="47"/>
      <c r="U35" s="48"/>
      <c r="V35" s="44"/>
      <c r="W35" s="47"/>
      <c r="X35" s="48"/>
    </row>
    <row r="36" spans="1:24" ht="15.75" customHeight="1" thickBot="1" x14ac:dyDescent="0.25">
      <c r="A36" s="2"/>
      <c r="B36" s="22" t="s">
        <v>68</v>
      </c>
      <c r="C36" s="19">
        <v>15</v>
      </c>
      <c r="D36" s="19">
        <f>L46</f>
        <v>0</v>
      </c>
      <c r="E36" s="20">
        <f>Table41539516375879941118[Projected Cost]-Table41539516375879941118[Actual Cost]</f>
        <v>15</v>
      </c>
      <c r="F36" s="67"/>
      <c r="K36" s="49" t="s">
        <v>33</v>
      </c>
      <c r="L36" s="50">
        <f>SUM(L34:L35)</f>
        <v>0</v>
      </c>
      <c r="M36" s="44"/>
      <c r="N36" s="49" t="s">
        <v>33</v>
      </c>
      <c r="O36" s="50">
        <f>SUM(O34:O35)</f>
        <v>0</v>
      </c>
      <c r="P36" s="44"/>
      <c r="Q36" s="47"/>
      <c r="R36" s="48"/>
      <c r="S36" s="44"/>
      <c r="T36" s="47"/>
      <c r="U36" s="48"/>
      <c r="V36" s="44"/>
      <c r="W36" s="47"/>
      <c r="X36" s="48"/>
    </row>
    <row r="37" spans="1:24" ht="15.75" customHeight="1" thickBot="1" x14ac:dyDescent="0.25">
      <c r="A37" s="2"/>
      <c r="B37" s="16" t="s">
        <v>33</v>
      </c>
      <c r="C37" s="19">
        <f>SUBTOTAL(109,Table41539516375879941118[Projected Cost])</f>
        <v>15</v>
      </c>
      <c r="D37" s="19">
        <f>SUBTOTAL(109,Table41539516375879941118[Actual Cost])</f>
        <v>0</v>
      </c>
      <c r="E37" s="21">
        <f>SUBTOTAL(109,Table41539516375879941118[Difference])</f>
        <v>15</v>
      </c>
      <c r="F37" s="67"/>
      <c r="K37" s="62"/>
      <c r="L37" s="58"/>
      <c r="M37" s="44"/>
      <c r="N37" s="58"/>
      <c r="O37" s="58"/>
      <c r="P37" s="44"/>
      <c r="Q37" s="47"/>
      <c r="R37" s="48"/>
      <c r="S37" s="44"/>
      <c r="T37" s="47"/>
      <c r="U37" s="48"/>
      <c r="V37" s="44"/>
      <c r="W37" s="47"/>
      <c r="X37" s="48"/>
    </row>
    <row r="38" spans="1:24" ht="15.75" customHeight="1" thickBot="1" x14ac:dyDescent="0.25">
      <c r="A38" s="2"/>
      <c r="B38" s="113"/>
      <c r="C38" s="113"/>
      <c r="D38" s="113"/>
      <c r="E38" s="113"/>
      <c r="F38" s="67"/>
      <c r="K38" s="62"/>
      <c r="L38" s="58"/>
      <c r="M38" s="44"/>
      <c r="N38" s="58"/>
      <c r="O38" s="58"/>
      <c r="P38" s="44"/>
      <c r="Q38" s="47"/>
      <c r="R38" s="48"/>
      <c r="S38" s="44"/>
      <c r="T38" s="49" t="s">
        <v>33</v>
      </c>
      <c r="U38" s="50">
        <f>SUM(U34:U37)</f>
        <v>0</v>
      </c>
      <c r="V38" s="44"/>
      <c r="W38" s="47"/>
      <c r="X38" s="48"/>
    </row>
    <row r="39" spans="1:24" ht="15.75" customHeight="1" thickBot="1" x14ac:dyDescent="0.25">
      <c r="A39" s="2"/>
      <c r="B39" s="16" t="s">
        <v>26</v>
      </c>
      <c r="C39" s="17" t="s">
        <v>0</v>
      </c>
      <c r="D39" s="17" t="s">
        <v>1</v>
      </c>
      <c r="E39" s="18" t="s">
        <v>2</v>
      </c>
      <c r="F39" s="67"/>
      <c r="K39" s="62"/>
      <c r="L39" s="58"/>
      <c r="M39" s="44"/>
      <c r="N39" s="58"/>
      <c r="O39" s="58"/>
      <c r="P39" s="44"/>
      <c r="Q39" s="47"/>
      <c r="R39" s="48"/>
      <c r="S39" s="44"/>
      <c r="T39" s="58"/>
      <c r="U39" s="58"/>
      <c r="V39" s="44"/>
      <c r="W39" s="47"/>
      <c r="X39" s="48"/>
    </row>
    <row r="40" spans="1:24" ht="15.75" customHeight="1" thickBot="1" x14ac:dyDescent="0.25">
      <c r="A40" s="2"/>
      <c r="B40" s="22" t="s">
        <v>92</v>
      </c>
      <c r="C40" s="19">
        <f>IF('Starting Page'!I24="Yes",'Starting Page'!I26/8,300)</f>
        <v>300</v>
      </c>
      <c r="D40" s="19">
        <f>O53</f>
        <v>0</v>
      </c>
      <c r="E40" s="20">
        <f>Table519435567799110351219[Projected Cost]-Table519435567799110351219[Actual Cost]</f>
        <v>300</v>
      </c>
      <c r="F40" s="67"/>
      <c r="K40" s="63"/>
      <c r="L40" s="59"/>
      <c r="M40" s="56"/>
      <c r="N40" s="59"/>
      <c r="O40" s="59"/>
      <c r="P40" s="56"/>
      <c r="Q40" s="49" t="s">
        <v>33</v>
      </c>
      <c r="R40" s="50">
        <f>SUM(R34:R39)</f>
        <v>0</v>
      </c>
      <c r="S40" s="56"/>
      <c r="T40" s="59"/>
      <c r="U40" s="59"/>
      <c r="V40" s="56"/>
      <c r="W40" s="49" t="s">
        <v>33</v>
      </c>
      <c r="X40" s="50">
        <f>SUM(X34:X39)</f>
        <v>0</v>
      </c>
    </row>
    <row r="41" spans="1:24" ht="15.75" customHeight="1" thickBot="1" x14ac:dyDescent="0.25">
      <c r="A41" s="2"/>
      <c r="B41" s="22" t="s">
        <v>15</v>
      </c>
      <c r="C41" s="19">
        <v>100</v>
      </c>
      <c r="D41" s="19">
        <f>R53</f>
        <v>0</v>
      </c>
      <c r="E41" s="20">
        <f>Table519435567799110351219[Projected Cost]-Table519435567799110351219[Actual Cost]</f>
        <v>100</v>
      </c>
      <c r="F41" s="67"/>
    </row>
    <row r="42" spans="1:24" ht="15.75" customHeight="1" thickBot="1" x14ac:dyDescent="0.25">
      <c r="A42" s="2"/>
      <c r="B42" s="22" t="s">
        <v>6</v>
      </c>
      <c r="C42" s="19">
        <v>0</v>
      </c>
      <c r="D42" s="19">
        <f>U49</f>
        <v>0</v>
      </c>
      <c r="E42" s="20">
        <f>Table519435567799110351219[Projected Cost]-Table519435567799110351219[Actual Cost]</f>
        <v>0</v>
      </c>
      <c r="F42" s="67"/>
      <c r="K42" s="144" t="s">
        <v>68</v>
      </c>
      <c r="L42" s="145"/>
      <c r="N42" s="139" t="s">
        <v>11</v>
      </c>
      <c r="O42" s="140"/>
      <c r="P42" s="140"/>
      <c r="Q42" s="140"/>
      <c r="R42" s="140"/>
      <c r="S42" s="140"/>
      <c r="T42" s="140"/>
      <c r="U42" s="141"/>
    </row>
    <row r="43" spans="1:24" ht="15.75" customHeight="1" thickBot="1" x14ac:dyDescent="0.25">
      <c r="A43" s="2"/>
      <c r="B43" s="16" t="s">
        <v>33</v>
      </c>
      <c r="C43" s="19">
        <f>SUBTOTAL(109,Table519435567799110351219[Projected Cost])</f>
        <v>400</v>
      </c>
      <c r="D43" s="19">
        <f>SUBTOTAL(109,Table519435567799110351219[Actual Cost])</f>
        <v>0</v>
      </c>
      <c r="E43" s="21">
        <f>SUBTOTAL(109,Table519435567799110351219[Difference])</f>
        <v>400</v>
      </c>
      <c r="F43" s="67"/>
      <c r="K43" s="45" t="s">
        <v>38</v>
      </c>
      <c r="L43" s="46" t="s">
        <v>46</v>
      </c>
      <c r="N43" s="148" t="s">
        <v>10</v>
      </c>
      <c r="O43" s="149"/>
      <c r="P43" s="44"/>
      <c r="Q43" s="148" t="s">
        <v>40</v>
      </c>
      <c r="R43" s="149"/>
      <c r="S43" s="58"/>
      <c r="T43" s="148" t="s">
        <v>6</v>
      </c>
      <c r="U43" s="149"/>
    </row>
    <row r="44" spans="1:24" ht="15.75" customHeight="1" thickBot="1" x14ac:dyDescent="0.25">
      <c r="A44" s="2"/>
      <c r="B44" s="113"/>
      <c r="C44" s="113"/>
      <c r="D44" s="113"/>
      <c r="E44" s="113"/>
      <c r="F44" s="67"/>
      <c r="K44" s="47" t="s">
        <v>59</v>
      </c>
      <c r="L44" s="48"/>
      <c r="N44" s="45" t="s">
        <v>38</v>
      </c>
      <c r="O44" s="46" t="s">
        <v>46</v>
      </c>
      <c r="P44" s="44"/>
      <c r="Q44" s="45" t="s">
        <v>38</v>
      </c>
      <c r="R44" s="46" t="s">
        <v>46</v>
      </c>
      <c r="S44" s="58"/>
      <c r="T44" s="45" t="s">
        <v>38</v>
      </c>
      <c r="U44" s="46" t="s">
        <v>46</v>
      </c>
    </row>
    <row r="45" spans="1:24" ht="15.75" customHeight="1" thickBot="1" x14ac:dyDescent="0.25">
      <c r="A45" s="2"/>
      <c r="B45" s="16" t="s">
        <v>27</v>
      </c>
      <c r="C45" s="17" t="s">
        <v>0</v>
      </c>
      <c r="D45" s="17" t="s">
        <v>1</v>
      </c>
      <c r="E45" s="18" t="s">
        <v>2</v>
      </c>
      <c r="F45" s="67"/>
      <c r="K45" s="47"/>
      <c r="L45" s="48"/>
      <c r="N45" s="47" t="s">
        <v>69</v>
      </c>
      <c r="O45" s="48"/>
      <c r="P45" s="44"/>
      <c r="Q45" s="47" t="s">
        <v>70</v>
      </c>
      <c r="R45" s="48"/>
      <c r="S45" s="58"/>
      <c r="T45" s="47"/>
      <c r="U45" s="48"/>
    </row>
    <row r="46" spans="1:24" ht="17.25" customHeight="1" thickBot="1" x14ac:dyDescent="0.25">
      <c r="A46" s="2"/>
      <c r="B46" s="22" t="s">
        <v>12</v>
      </c>
      <c r="C46" s="19">
        <v>20</v>
      </c>
      <c r="D46" s="19">
        <f>L61</f>
        <v>0</v>
      </c>
      <c r="E46" s="20">
        <f>Table724486072849610871421[Projected Cost]-Table724486072849610871421[Actual Cost]</f>
        <v>20</v>
      </c>
      <c r="F46" s="67"/>
      <c r="K46" s="49" t="s">
        <v>33</v>
      </c>
      <c r="L46" s="50">
        <f>SUM(L44:L45)</f>
        <v>0</v>
      </c>
      <c r="N46" s="47"/>
      <c r="O46" s="48"/>
      <c r="P46" s="44"/>
      <c r="Q46" s="47"/>
      <c r="R46" s="48"/>
      <c r="S46" s="58"/>
      <c r="T46" s="47"/>
      <c r="U46" s="48"/>
    </row>
    <row r="47" spans="1:24" ht="15.75" customHeight="1" x14ac:dyDescent="0.2">
      <c r="A47" s="2"/>
      <c r="B47" s="22" t="s">
        <v>14</v>
      </c>
      <c r="C47" s="19">
        <v>50</v>
      </c>
      <c r="D47" s="19">
        <f>O60</f>
        <v>0</v>
      </c>
      <c r="E47" s="20">
        <f>Table724486072849610871421[Projected Cost]-Table724486072849610871421[Actual Cost]</f>
        <v>50</v>
      </c>
      <c r="F47" s="67"/>
      <c r="N47" s="47"/>
      <c r="O47" s="48"/>
      <c r="P47" s="44"/>
      <c r="Q47" s="47"/>
      <c r="R47" s="48"/>
      <c r="S47" s="58"/>
      <c r="T47" s="47"/>
      <c r="U47" s="48"/>
    </row>
    <row r="48" spans="1:24" ht="15.75" customHeight="1" thickBot="1" x14ac:dyDescent="0.25">
      <c r="A48" s="2"/>
      <c r="B48" s="22" t="s">
        <v>13</v>
      </c>
      <c r="C48" s="19">
        <v>50</v>
      </c>
      <c r="D48" s="19">
        <f>R64</f>
        <v>0</v>
      </c>
      <c r="E48" s="20">
        <f>Table724486072849610871421[Projected Cost]-Table724486072849610871421[Actual Cost]</f>
        <v>50</v>
      </c>
      <c r="F48" s="67"/>
      <c r="N48" s="47"/>
      <c r="O48" s="48"/>
      <c r="P48" s="44"/>
      <c r="Q48" s="47"/>
      <c r="R48" s="48"/>
      <c r="S48" s="58"/>
      <c r="T48" s="47"/>
      <c r="U48" s="48"/>
    </row>
    <row r="49" spans="1:24" ht="15.75" customHeight="1" thickBot="1" x14ac:dyDescent="0.25">
      <c r="A49" s="2"/>
      <c r="B49" s="22" t="s">
        <v>49</v>
      </c>
      <c r="C49" s="19">
        <v>40</v>
      </c>
      <c r="D49" s="19">
        <f>U60</f>
        <v>0</v>
      </c>
      <c r="E49" s="20">
        <f>Table724486072849610871421[Projected Cost]-Table724486072849610871421[Actual Cost]</f>
        <v>40</v>
      </c>
      <c r="F49" s="67"/>
      <c r="N49" s="47"/>
      <c r="O49" s="48"/>
      <c r="P49" s="44"/>
      <c r="Q49" s="47"/>
      <c r="R49" s="48"/>
      <c r="S49" s="58"/>
      <c r="T49" s="49" t="s">
        <v>33</v>
      </c>
      <c r="U49" s="50">
        <f>SUM(U45:U48)</f>
        <v>0</v>
      </c>
    </row>
    <row r="50" spans="1:24" ht="15.75" customHeight="1" x14ac:dyDescent="0.2">
      <c r="A50" s="2"/>
      <c r="B50" s="22" t="s">
        <v>6</v>
      </c>
      <c r="C50" s="19">
        <v>20</v>
      </c>
      <c r="D50" s="19">
        <f>X64</f>
        <v>0</v>
      </c>
      <c r="E50" s="20">
        <f>Table724486072849610871421[Projected Cost]-Table724486072849610871421[Actual Cost]</f>
        <v>20</v>
      </c>
      <c r="F50" s="67"/>
      <c r="N50" s="47"/>
      <c r="O50" s="48"/>
      <c r="P50" s="44"/>
      <c r="Q50" s="47"/>
      <c r="R50" s="48"/>
      <c r="S50" s="58"/>
      <c r="T50" s="58"/>
      <c r="U50" s="64"/>
    </row>
    <row r="51" spans="1:24" ht="15.75" customHeight="1" x14ac:dyDescent="0.2">
      <c r="A51" s="2"/>
      <c r="B51" s="16" t="s">
        <v>33</v>
      </c>
      <c r="C51" s="19">
        <f>SUBTOTAL(109,Table724486072849610871421[Projected Cost])</f>
        <v>180</v>
      </c>
      <c r="D51" s="19">
        <f>SUBTOTAL(109,Table724486072849610871421[Actual Cost])</f>
        <v>0</v>
      </c>
      <c r="E51" s="21">
        <f>SUBTOTAL(109,Table724486072849610871421[Difference])</f>
        <v>180</v>
      </c>
      <c r="F51" s="67"/>
      <c r="N51" s="47"/>
      <c r="O51" s="48"/>
      <c r="P51" s="44"/>
      <c r="Q51" s="47"/>
      <c r="R51" s="48"/>
      <c r="S51" s="58"/>
      <c r="T51" s="58"/>
      <c r="U51" s="64"/>
    </row>
    <row r="52" spans="1:24" ht="15.75" customHeight="1" thickBot="1" x14ac:dyDescent="0.25">
      <c r="A52" s="2"/>
      <c r="F52" s="67"/>
      <c r="N52" s="47"/>
      <c r="O52" s="48"/>
      <c r="P52" s="44"/>
      <c r="Q52" s="47"/>
      <c r="R52" s="48"/>
      <c r="S52" s="58"/>
      <c r="T52" s="58"/>
      <c r="U52" s="64"/>
    </row>
    <row r="53" spans="1:24" ht="15.75" customHeight="1" thickBot="1" x14ac:dyDescent="0.25">
      <c r="A53" s="2"/>
      <c r="B53" s="16" t="s">
        <v>23</v>
      </c>
      <c r="C53" s="17" t="s">
        <v>0</v>
      </c>
      <c r="D53" s="17" t="s">
        <v>1</v>
      </c>
      <c r="E53" s="18" t="s">
        <v>2</v>
      </c>
      <c r="F53" s="67"/>
      <c r="N53" s="49" t="s">
        <v>33</v>
      </c>
      <c r="O53" s="50">
        <f>SUM(O45:O52)</f>
        <v>0</v>
      </c>
      <c r="P53" s="56"/>
      <c r="Q53" s="49" t="s">
        <v>33</v>
      </c>
      <c r="R53" s="50">
        <f>SUM(R45:R52)</f>
        <v>0</v>
      </c>
      <c r="S53" s="59"/>
      <c r="T53" s="59"/>
      <c r="U53" s="65"/>
    </row>
    <row r="54" spans="1:24" ht="15.75" customHeight="1" thickBot="1" x14ac:dyDescent="0.25">
      <c r="A54" s="2"/>
      <c r="B54" s="22" t="s">
        <v>81</v>
      </c>
      <c r="C54" s="19">
        <v>50</v>
      </c>
      <c r="D54" s="19">
        <f>L72</f>
        <v>0</v>
      </c>
      <c r="E54" s="20">
        <f>Table225496173859710981522[Projected Cost]-Table225496173859710981522[Actual Cost]</f>
        <v>50</v>
      </c>
      <c r="F54" s="67"/>
    </row>
    <row r="55" spans="1:24" ht="15.75" customHeight="1" thickBot="1" x14ac:dyDescent="0.25">
      <c r="A55" s="2"/>
      <c r="B55" s="22" t="s">
        <v>16</v>
      </c>
      <c r="C55" s="19">
        <v>15</v>
      </c>
      <c r="D55" s="19">
        <f>O71</f>
        <v>0</v>
      </c>
      <c r="E55" s="20">
        <f>Table225496173859710981522[Projected Cost]-Table225496173859710981522[Actual Cost]</f>
        <v>15</v>
      </c>
      <c r="F55" s="13"/>
      <c r="K55" s="139" t="s">
        <v>75</v>
      </c>
      <c r="L55" s="140"/>
      <c r="M55" s="140"/>
      <c r="N55" s="140"/>
      <c r="O55" s="140"/>
      <c r="P55" s="140"/>
      <c r="Q55" s="140"/>
      <c r="R55" s="140"/>
      <c r="S55" s="140"/>
      <c r="T55" s="140"/>
      <c r="U55" s="140"/>
      <c r="V55" s="140"/>
      <c r="W55" s="140"/>
      <c r="X55" s="141"/>
    </row>
    <row r="56" spans="1:24" ht="15.75" customHeight="1" thickBot="1" x14ac:dyDescent="0.25">
      <c r="A56" s="2"/>
      <c r="B56" s="22" t="s">
        <v>17</v>
      </c>
      <c r="C56" s="19">
        <v>20</v>
      </c>
      <c r="D56" s="19">
        <f>R71</f>
        <v>0</v>
      </c>
      <c r="E56" s="20">
        <f>Table225496173859710981522[Projected Cost]-Table225496173859710981522[Actual Cost]</f>
        <v>20</v>
      </c>
      <c r="F56" s="13"/>
      <c r="K56" s="148" t="s">
        <v>12</v>
      </c>
      <c r="L56" s="149"/>
      <c r="M56" s="44"/>
      <c r="N56" s="148" t="s">
        <v>71</v>
      </c>
      <c r="O56" s="149"/>
      <c r="P56" s="44"/>
      <c r="Q56" s="142" t="s">
        <v>13</v>
      </c>
      <c r="R56" s="143"/>
      <c r="S56" s="44"/>
      <c r="T56" s="148" t="s">
        <v>49</v>
      </c>
      <c r="U56" s="149"/>
      <c r="V56" s="44"/>
      <c r="W56" s="142" t="s">
        <v>6</v>
      </c>
      <c r="X56" s="143"/>
    </row>
    <row r="57" spans="1:24" ht="15.75" customHeight="1" thickBot="1" x14ac:dyDescent="0.25">
      <c r="A57" s="2"/>
      <c r="B57" s="22" t="s">
        <v>21</v>
      </c>
      <c r="C57" s="19">
        <v>0</v>
      </c>
      <c r="D57" s="19">
        <f>U71</f>
        <v>0</v>
      </c>
      <c r="E57" s="20">
        <f>Table225496173859710981522[Projected Cost]-Table225496173859710981522[Actual Cost]</f>
        <v>0</v>
      </c>
      <c r="F57" s="13"/>
      <c r="K57" s="45" t="s">
        <v>38</v>
      </c>
      <c r="L57" s="46" t="s">
        <v>46</v>
      </c>
      <c r="M57" s="44"/>
      <c r="N57" s="45" t="s">
        <v>38</v>
      </c>
      <c r="O57" s="46" t="s">
        <v>46</v>
      </c>
      <c r="P57" s="44"/>
      <c r="Q57" s="45" t="s">
        <v>38</v>
      </c>
      <c r="R57" s="46" t="s">
        <v>46</v>
      </c>
      <c r="S57" s="44"/>
      <c r="T57" s="45" t="s">
        <v>38</v>
      </c>
      <c r="U57" s="46" t="s">
        <v>46</v>
      </c>
      <c r="V57" s="44"/>
      <c r="W57" s="45" t="s">
        <v>38</v>
      </c>
      <c r="X57" s="46" t="s">
        <v>46</v>
      </c>
    </row>
    <row r="58" spans="1:24" ht="15.75" customHeight="1" x14ac:dyDescent="0.2">
      <c r="A58" s="2"/>
      <c r="B58" s="22" t="s">
        <v>6</v>
      </c>
      <c r="C58" s="19">
        <v>100</v>
      </c>
      <c r="D58" s="19">
        <f>X75</f>
        <v>0</v>
      </c>
      <c r="E58" s="20">
        <f>Table225496173859710981522[Projected Cost]-Table225496173859710981522[Actual Cost]</f>
        <v>100</v>
      </c>
      <c r="F58" s="13"/>
      <c r="K58" s="47" t="s">
        <v>82</v>
      </c>
      <c r="L58" s="48"/>
      <c r="M58" s="44"/>
      <c r="N58" s="47" t="s">
        <v>73</v>
      </c>
      <c r="O58" s="48"/>
      <c r="P58" s="44"/>
      <c r="Q58" s="47" t="s">
        <v>74</v>
      </c>
      <c r="R58" s="48"/>
      <c r="S58" s="44"/>
      <c r="T58" s="47" t="s">
        <v>49</v>
      </c>
      <c r="U58" s="48"/>
      <c r="V58" s="44"/>
      <c r="W58" s="47"/>
      <c r="X58" s="48"/>
    </row>
    <row r="59" spans="1:24" ht="15.75" customHeight="1" thickBot="1" x14ac:dyDescent="0.25">
      <c r="A59" s="2"/>
      <c r="B59" s="16" t="s">
        <v>33</v>
      </c>
      <c r="C59" s="77">
        <f>SUBTOTAL(109,Table225496173859710981522[Projected Cost])</f>
        <v>185</v>
      </c>
      <c r="D59" s="19">
        <f>SUBTOTAL(109,Table225496173859710981522[Actual Cost])</f>
        <v>0</v>
      </c>
      <c r="E59" s="21">
        <f>SUBTOTAL(109,Table225496173859710981522[Difference])</f>
        <v>185</v>
      </c>
      <c r="F59" s="13"/>
      <c r="K59" s="47"/>
      <c r="L59" s="48"/>
      <c r="M59" s="44"/>
      <c r="N59" s="47"/>
      <c r="O59" s="48"/>
      <c r="P59" s="44"/>
      <c r="Q59" s="47"/>
      <c r="R59" s="48"/>
      <c r="S59" s="44"/>
      <c r="T59" s="47"/>
      <c r="U59" s="48"/>
      <c r="V59" s="44"/>
      <c r="W59" s="47"/>
      <c r="X59" s="48"/>
    </row>
    <row r="60" spans="1:24" ht="15.75" customHeight="1" thickBot="1" x14ac:dyDescent="0.25">
      <c r="A60" s="2"/>
      <c r="F60" s="13"/>
      <c r="K60" s="47"/>
      <c r="L60" s="48"/>
      <c r="M60" s="44"/>
      <c r="N60" s="49" t="s">
        <v>33</v>
      </c>
      <c r="O60" s="50">
        <f>SUM(O58:O59)</f>
        <v>0</v>
      </c>
      <c r="P60" s="44"/>
      <c r="Q60" s="47"/>
      <c r="R60" s="48"/>
      <c r="S60" s="44"/>
      <c r="T60" s="49" t="s">
        <v>33</v>
      </c>
      <c r="U60" s="50">
        <f>SUM(U58:U59)</f>
        <v>0</v>
      </c>
      <c r="V60" s="44"/>
      <c r="W60" s="47"/>
      <c r="X60" s="48"/>
    </row>
    <row r="61" spans="1:24" ht="15.75" customHeight="1" thickBot="1" x14ac:dyDescent="0.25">
      <c r="A61" s="2"/>
      <c r="F61" s="13"/>
      <c r="K61" s="49" t="s">
        <v>33</v>
      </c>
      <c r="L61" s="50">
        <f>SUM(L58:L60)</f>
        <v>0</v>
      </c>
      <c r="M61" s="44"/>
      <c r="N61" s="58"/>
      <c r="O61" s="58"/>
      <c r="P61" s="44"/>
      <c r="Q61" s="47"/>
      <c r="R61" s="48"/>
      <c r="S61" s="44"/>
      <c r="T61" s="58"/>
      <c r="U61" s="58"/>
      <c r="V61" s="44"/>
      <c r="W61" s="47"/>
      <c r="X61" s="48"/>
    </row>
    <row r="62" spans="1:24" ht="15.75" customHeight="1" x14ac:dyDescent="0.2">
      <c r="B62" s="102" t="s">
        <v>30</v>
      </c>
      <c r="C62" s="102"/>
      <c r="D62" s="102"/>
      <c r="E62" s="117">
        <f>SUM(C17,C25,C33,C37,C43,C51,C59)</f>
        <v>1090</v>
      </c>
      <c r="K62" s="62"/>
      <c r="L62" s="58"/>
      <c r="M62" s="44"/>
      <c r="N62" s="58"/>
      <c r="O62" s="58"/>
      <c r="P62" s="44"/>
      <c r="Q62" s="47"/>
      <c r="R62" s="48"/>
      <c r="S62" s="44"/>
      <c r="T62" s="58"/>
      <c r="U62" s="58"/>
      <c r="V62" s="44"/>
      <c r="W62" s="47"/>
      <c r="X62" s="48"/>
    </row>
    <row r="63" spans="1:24" ht="13.5" thickBot="1" x14ac:dyDescent="0.25">
      <c r="B63" s="102"/>
      <c r="C63" s="102"/>
      <c r="D63" s="102"/>
      <c r="E63" s="117"/>
      <c r="J63" s="58"/>
      <c r="K63" s="62"/>
      <c r="L63" s="58"/>
      <c r="M63" s="44"/>
      <c r="N63" s="58"/>
      <c r="O63" s="58"/>
      <c r="P63" s="44"/>
      <c r="Q63" s="47"/>
      <c r="R63" s="48"/>
      <c r="S63" s="44"/>
      <c r="T63" s="58"/>
      <c r="U63" s="58"/>
      <c r="V63" s="44"/>
      <c r="W63" s="47"/>
      <c r="X63" s="48"/>
    </row>
    <row r="64" spans="1:24" ht="13.5" thickBot="1" x14ac:dyDescent="0.25">
      <c r="B64" s="102" t="s">
        <v>31</v>
      </c>
      <c r="C64" s="102"/>
      <c r="D64" s="102"/>
      <c r="E64" s="117">
        <f>SUM(D17,D25,D33,D37,D43,D51,D59)</f>
        <v>0</v>
      </c>
      <c r="J64" s="58"/>
      <c r="K64" s="63"/>
      <c r="L64" s="59"/>
      <c r="M64" s="56"/>
      <c r="N64" s="59"/>
      <c r="O64" s="59"/>
      <c r="P64" s="56"/>
      <c r="Q64" s="49" t="s">
        <v>33</v>
      </c>
      <c r="R64" s="50">
        <f>SUM(R58:R63)</f>
        <v>0</v>
      </c>
      <c r="S64" s="56"/>
      <c r="T64" s="59"/>
      <c r="U64" s="59"/>
      <c r="V64" s="56"/>
      <c r="W64" s="49" t="s">
        <v>33</v>
      </c>
      <c r="X64" s="50">
        <f>SUM(X58:X63)</f>
        <v>0</v>
      </c>
    </row>
    <row r="65" spans="2:24" ht="13.5" thickBot="1" x14ac:dyDescent="0.25">
      <c r="B65" s="102"/>
      <c r="C65" s="102"/>
      <c r="D65" s="102"/>
      <c r="E65" s="117"/>
      <c r="J65" s="58"/>
      <c r="K65" s="58"/>
      <c r="L65" s="58"/>
      <c r="M65" s="58"/>
      <c r="N65" s="58"/>
      <c r="O65" s="58"/>
      <c r="P65" s="58"/>
      <c r="S65" s="58"/>
      <c r="T65" s="58"/>
      <c r="U65" s="58"/>
      <c r="V65" s="58"/>
    </row>
    <row r="66" spans="2:24" ht="13.5" thickBot="1" x14ac:dyDescent="0.25">
      <c r="B66" s="102" t="s">
        <v>32</v>
      </c>
      <c r="C66" s="102"/>
      <c r="D66" s="102"/>
      <c r="E66" s="117">
        <f>SUM(E17,E25,E33,E37,E43,E51,E59)</f>
        <v>1090</v>
      </c>
      <c r="J66" s="58"/>
      <c r="K66" s="139" t="s">
        <v>76</v>
      </c>
      <c r="L66" s="140"/>
      <c r="M66" s="140"/>
      <c r="N66" s="140"/>
      <c r="O66" s="140"/>
      <c r="P66" s="140"/>
      <c r="Q66" s="140"/>
      <c r="R66" s="140"/>
      <c r="S66" s="140"/>
      <c r="T66" s="140"/>
      <c r="U66" s="140"/>
      <c r="V66" s="140"/>
      <c r="W66" s="140"/>
      <c r="X66" s="141"/>
    </row>
    <row r="67" spans="2:24" ht="13.5" thickBot="1" x14ac:dyDescent="0.25">
      <c r="B67" s="102"/>
      <c r="C67" s="102"/>
      <c r="D67" s="102"/>
      <c r="E67" s="117"/>
      <c r="J67" s="58"/>
      <c r="K67" s="148" t="s">
        <v>41</v>
      </c>
      <c r="L67" s="149"/>
      <c r="M67" s="44"/>
      <c r="N67" s="148" t="s">
        <v>16</v>
      </c>
      <c r="O67" s="149"/>
      <c r="P67" s="44"/>
      <c r="Q67" s="142" t="s">
        <v>17</v>
      </c>
      <c r="R67" s="143"/>
      <c r="S67" s="44"/>
      <c r="T67" s="148" t="s">
        <v>77</v>
      </c>
      <c r="U67" s="149"/>
      <c r="V67" s="44"/>
      <c r="W67" s="142" t="s">
        <v>6</v>
      </c>
      <c r="X67" s="143"/>
    </row>
    <row r="68" spans="2:24" ht="13.5" thickBot="1" x14ac:dyDescent="0.25">
      <c r="J68" s="58"/>
      <c r="K68" s="45" t="s">
        <v>38</v>
      </c>
      <c r="L68" s="46" t="s">
        <v>46</v>
      </c>
      <c r="M68" s="44"/>
      <c r="N68" s="45" t="s">
        <v>38</v>
      </c>
      <c r="O68" s="46" t="s">
        <v>46</v>
      </c>
      <c r="P68" s="44"/>
      <c r="Q68" s="45" t="s">
        <v>38</v>
      </c>
      <c r="R68" s="46" t="s">
        <v>46</v>
      </c>
      <c r="S68" s="44"/>
      <c r="T68" s="45" t="s">
        <v>38</v>
      </c>
      <c r="U68" s="46" t="s">
        <v>46</v>
      </c>
      <c r="V68" s="44"/>
      <c r="W68" s="45" t="s">
        <v>38</v>
      </c>
      <c r="X68" s="46" t="s">
        <v>46</v>
      </c>
    </row>
    <row r="69" spans="2:24" x14ac:dyDescent="0.2">
      <c r="J69" s="58"/>
      <c r="K69" s="47" t="s">
        <v>72</v>
      </c>
      <c r="L69" s="48"/>
      <c r="M69" s="44"/>
      <c r="N69" s="47" t="s">
        <v>43</v>
      </c>
      <c r="O69" s="48"/>
      <c r="P69" s="44"/>
      <c r="Q69" s="47" t="s">
        <v>78</v>
      </c>
      <c r="R69" s="48"/>
      <c r="S69" s="44"/>
      <c r="T69" s="47" t="s">
        <v>79</v>
      </c>
      <c r="U69" s="48"/>
      <c r="V69" s="44"/>
      <c r="W69" s="47"/>
      <c r="X69" s="48"/>
    </row>
    <row r="70" spans="2:24" ht="13.5" thickBot="1" x14ac:dyDescent="0.25">
      <c r="K70" s="47"/>
      <c r="L70" s="48"/>
      <c r="M70" s="44"/>
      <c r="N70" s="47"/>
      <c r="O70" s="48"/>
      <c r="P70" s="44"/>
      <c r="Q70" s="47"/>
      <c r="R70" s="48"/>
      <c r="S70" s="44"/>
      <c r="T70" s="47"/>
      <c r="U70" s="48"/>
      <c r="V70" s="44"/>
      <c r="W70" s="47"/>
      <c r="X70" s="48"/>
    </row>
    <row r="71" spans="2:24" ht="13.5" thickBot="1" x14ac:dyDescent="0.25">
      <c r="K71" s="47"/>
      <c r="L71" s="48"/>
      <c r="M71" s="44"/>
      <c r="N71" s="49" t="s">
        <v>33</v>
      </c>
      <c r="O71" s="50">
        <f>SUM(O69:O70)</f>
        <v>0</v>
      </c>
      <c r="P71" s="44"/>
      <c r="Q71" s="49" t="s">
        <v>33</v>
      </c>
      <c r="R71" s="50">
        <f>SUM(R69:R70)</f>
        <v>0</v>
      </c>
      <c r="S71" s="44"/>
      <c r="T71" s="49" t="s">
        <v>33</v>
      </c>
      <c r="U71" s="50">
        <f>SUM(U69:U70)</f>
        <v>0</v>
      </c>
      <c r="V71" s="44"/>
      <c r="W71" s="47"/>
      <c r="X71" s="48"/>
    </row>
    <row r="72" spans="2:24" ht="13.5" thickBot="1" x14ac:dyDescent="0.25">
      <c r="K72" s="49" t="s">
        <v>33</v>
      </c>
      <c r="L72" s="50">
        <f>SUM(L69:L71)</f>
        <v>0</v>
      </c>
      <c r="M72" s="44"/>
      <c r="N72" s="58"/>
      <c r="O72" s="58"/>
      <c r="P72" s="44"/>
      <c r="Q72" s="58"/>
      <c r="R72" s="58"/>
      <c r="S72" s="44"/>
      <c r="T72" s="58"/>
      <c r="U72" s="58"/>
      <c r="V72" s="44"/>
      <c r="W72" s="47"/>
      <c r="X72" s="48"/>
    </row>
    <row r="73" spans="2:24" x14ac:dyDescent="0.2">
      <c r="K73" s="62"/>
      <c r="L73" s="58"/>
      <c r="M73" s="44"/>
      <c r="N73" s="58"/>
      <c r="O73" s="58"/>
      <c r="P73" s="44"/>
      <c r="Q73" s="58"/>
      <c r="R73" s="58"/>
      <c r="S73" s="44"/>
      <c r="T73" s="58"/>
      <c r="U73" s="58"/>
      <c r="V73" s="44"/>
      <c r="W73" s="47"/>
      <c r="X73" s="48"/>
    </row>
    <row r="74" spans="2:24" ht="13.5" thickBot="1" x14ac:dyDescent="0.25">
      <c r="K74" s="62"/>
      <c r="L74" s="58"/>
      <c r="M74" s="44"/>
      <c r="N74" s="58"/>
      <c r="O74" s="58"/>
      <c r="P74" s="44"/>
      <c r="Q74" s="58"/>
      <c r="R74" s="58"/>
      <c r="S74" s="44"/>
      <c r="T74" s="58"/>
      <c r="U74" s="58"/>
      <c r="V74" s="44"/>
      <c r="W74" s="47"/>
      <c r="X74" s="48"/>
    </row>
    <row r="75" spans="2:24" ht="13.5" thickBot="1" x14ac:dyDescent="0.25">
      <c r="K75" s="63"/>
      <c r="L75" s="59"/>
      <c r="M75" s="56"/>
      <c r="N75" s="59"/>
      <c r="O75" s="59"/>
      <c r="P75" s="56"/>
      <c r="Q75" s="59"/>
      <c r="R75" s="59"/>
      <c r="S75" s="56"/>
      <c r="T75" s="59"/>
      <c r="U75" s="59"/>
      <c r="V75" s="56"/>
      <c r="W75" s="49" t="s">
        <v>33</v>
      </c>
      <c r="X75" s="50">
        <f>SUM(X69:X74)</f>
        <v>0</v>
      </c>
    </row>
  </sheetData>
  <mergeCells count="64">
    <mergeCell ref="K66:X66"/>
    <mergeCell ref="K67:L67"/>
    <mergeCell ref="N67:O67"/>
    <mergeCell ref="Q67:R67"/>
    <mergeCell ref="T67:U67"/>
    <mergeCell ref="W67:X67"/>
    <mergeCell ref="B62:D63"/>
    <mergeCell ref="E62:E63"/>
    <mergeCell ref="B64:D65"/>
    <mergeCell ref="E64:E65"/>
    <mergeCell ref="B66:D67"/>
    <mergeCell ref="E66:E67"/>
    <mergeCell ref="B44:E44"/>
    <mergeCell ref="K55:X55"/>
    <mergeCell ref="K56:L56"/>
    <mergeCell ref="N56:O56"/>
    <mergeCell ref="Q56:R56"/>
    <mergeCell ref="T56:U56"/>
    <mergeCell ref="W56:X56"/>
    <mergeCell ref="B34:E34"/>
    <mergeCell ref="B38:E38"/>
    <mergeCell ref="K42:L42"/>
    <mergeCell ref="N42:U42"/>
    <mergeCell ref="N43:O43"/>
    <mergeCell ref="Q43:R43"/>
    <mergeCell ref="T43:U43"/>
    <mergeCell ref="B26:E26"/>
    <mergeCell ref="K31:X31"/>
    <mergeCell ref="K32:L32"/>
    <mergeCell ref="N32:O32"/>
    <mergeCell ref="Q32:R32"/>
    <mergeCell ref="T32:U32"/>
    <mergeCell ref="W32:X32"/>
    <mergeCell ref="K24:X24"/>
    <mergeCell ref="K25:L25"/>
    <mergeCell ref="N25:O25"/>
    <mergeCell ref="Q25:R25"/>
    <mergeCell ref="T25:U25"/>
    <mergeCell ref="W25:X25"/>
    <mergeCell ref="H11:I11"/>
    <mergeCell ref="K11:X11"/>
    <mergeCell ref="K12:L12"/>
    <mergeCell ref="N12:O12"/>
    <mergeCell ref="Q12:R12"/>
    <mergeCell ref="T12:U12"/>
    <mergeCell ref="W12:X12"/>
    <mergeCell ref="B7:B9"/>
    <mergeCell ref="C7:D7"/>
    <mergeCell ref="C8:D8"/>
    <mergeCell ref="G8:K9"/>
    <mergeCell ref="L8:L9"/>
    <mergeCell ref="C9:D9"/>
    <mergeCell ref="Q5:R5"/>
    <mergeCell ref="T5:U5"/>
    <mergeCell ref="W5:X5"/>
    <mergeCell ref="C6:D6"/>
    <mergeCell ref="G6:K7"/>
    <mergeCell ref="L6:L7"/>
    <mergeCell ref="B3:D3"/>
    <mergeCell ref="B4:B6"/>
    <mergeCell ref="C4:D4"/>
    <mergeCell ref="G4:K5"/>
    <mergeCell ref="L4:L5"/>
    <mergeCell ref="C5:D5"/>
  </mergeCells>
  <conditionalFormatting sqref="E54:E59 E28:E33 E20:E25 E36:E37 E40:E43 E46:E51">
    <cfRule type="iconSet" priority="2">
      <iconSet iconSet="3Signs">
        <cfvo type="percent" val="0"/>
        <cfvo type="num" val="-20"/>
        <cfvo type="num" val="0"/>
      </iconSet>
    </cfRule>
  </conditionalFormatting>
  <conditionalFormatting sqref="E12:E18">
    <cfRule type="iconSet" priority="1">
      <iconSet iconSet="3Signs">
        <cfvo type="percent" val="0"/>
        <cfvo type="num" val="-20"/>
        <cfvo type="num" val="0"/>
      </iconSet>
    </cfRule>
  </conditionalFormatting>
  <pageMargins left="0.5" right="0.5" top="0.5" bottom="0.5" header="0.5" footer="0.5"/>
  <pageSetup orientation="portrait" r:id="rId1"/>
  <headerFooter alignWithMargins="0"/>
  <ignoredErrors>
    <ignoredError sqref="D28:D32 D40:D42 D46:D50" calculatedColumn="1"/>
  </ignoredErrors>
  <drawing r:id="rId2"/>
  <tableParts count="7">
    <tablePart r:id="rId3"/>
    <tablePart r:id="rId4"/>
    <tablePart r:id="rId5"/>
    <tablePart r:id="rId6"/>
    <tablePart r:id="rId7"/>
    <tablePart r:id="rId8"/>
    <tablePart r:id="rId9"/>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F75"/>
  <sheetViews>
    <sheetView showGridLines="0" workbookViewId="0">
      <pane ySplit="2" topLeftCell="A3" activePane="bottomLeft" state="frozen"/>
      <selection pane="bottomLeft" activeCell="K12" sqref="K12:L12"/>
    </sheetView>
  </sheetViews>
  <sheetFormatPr defaultColWidth="8.7109375" defaultRowHeight="12.75" x14ac:dyDescent="0.2"/>
  <cols>
    <col min="1" max="1" width="1.5703125" customWidth="1"/>
    <col min="2" max="2" width="32.28515625" customWidth="1"/>
    <col min="3" max="3" width="16.42578125" customWidth="1"/>
    <col min="4" max="4" width="13.42578125" customWidth="1"/>
    <col min="5" max="5" width="12.42578125" customWidth="1"/>
    <col min="6" max="6" width="2" customWidth="1"/>
    <col min="7" max="7" width="5.7109375" customWidth="1"/>
    <col min="8" max="8" width="11.42578125" bestFit="1" customWidth="1"/>
    <col min="9" max="9" width="7.42578125" bestFit="1" customWidth="1"/>
    <col min="10" max="10" width="6.5703125" customWidth="1"/>
    <col min="11" max="11" width="13.42578125" customWidth="1"/>
    <col min="12" max="12" width="12.42578125" customWidth="1"/>
    <col min="13" max="13" width="3.28515625" customWidth="1"/>
    <col min="14" max="14" width="11.5703125" bestFit="1" customWidth="1"/>
    <col min="15" max="15" width="7.42578125" bestFit="1" customWidth="1"/>
    <col min="16" max="16" width="2.7109375" customWidth="1"/>
    <col min="17" max="17" width="9.5703125" bestFit="1" customWidth="1"/>
    <col min="18" max="18" width="7.42578125" bestFit="1" customWidth="1"/>
    <col min="19" max="19" width="4.28515625" customWidth="1"/>
    <col min="20" max="20" width="11.42578125" bestFit="1" customWidth="1"/>
    <col min="21" max="21" width="7.42578125" bestFit="1" customWidth="1"/>
    <col min="22" max="22" width="3.7109375" customWidth="1"/>
    <col min="23" max="23" width="14.5703125" bestFit="1" customWidth="1"/>
    <col min="24" max="24" width="7.42578125" bestFit="1" customWidth="1"/>
  </cols>
  <sheetData>
    <row r="1" spans="1:32" ht="8.25" customHeight="1" x14ac:dyDescent="0.6">
      <c r="A1" s="3"/>
      <c r="B1" s="1"/>
      <c r="C1" s="1"/>
      <c r="D1" s="1"/>
      <c r="E1" s="1"/>
      <c r="F1" s="1"/>
      <c r="G1" s="1"/>
      <c r="H1" s="1"/>
      <c r="I1" s="1"/>
      <c r="J1" s="1"/>
      <c r="K1" s="1"/>
      <c r="L1" s="2"/>
    </row>
    <row r="2" spans="1:32" ht="52.15" customHeight="1" x14ac:dyDescent="0.2">
      <c r="A2" s="3"/>
      <c r="B2" s="35"/>
      <c r="C2" s="69" t="str">
        <f>("-  January Monthly Budget")</f>
        <v>-  January Monthly Budget</v>
      </c>
      <c r="E2" s="35"/>
      <c r="F2" s="35"/>
      <c r="G2" s="35"/>
      <c r="H2" s="35"/>
      <c r="I2" s="35"/>
      <c r="J2" s="35"/>
      <c r="K2" s="35"/>
      <c r="L2" s="35"/>
    </row>
    <row r="3" spans="1:32" ht="8.25" customHeight="1" x14ac:dyDescent="0.2">
      <c r="A3" s="2"/>
      <c r="B3" s="98"/>
      <c r="C3" s="98"/>
      <c r="D3" s="98"/>
      <c r="E3" s="4"/>
      <c r="F3" s="5"/>
      <c r="G3" s="4"/>
      <c r="H3" s="6"/>
      <c r="I3" s="6"/>
      <c r="J3" s="6"/>
      <c r="K3" s="7"/>
      <c r="L3" s="8"/>
    </row>
    <row r="4" spans="1:32" ht="16.149999999999999" customHeight="1" x14ac:dyDescent="0.2">
      <c r="A4" s="2"/>
      <c r="B4" s="114" t="s">
        <v>29</v>
      </c>
      <c r="C4" s="105" t="s">
        <v>3</v>
      </c>
      <c r="D4" s="106"/>
      <c r="E4" s="15">
        <f>'Starting Page'!I31</f>
        <v>300</v>
      </c>
      <c r="F4" s="5"/>
      <c r="G4" s="102" t="s">
        <v>34</v>
      </c>
      <c r="H4" s="102"/>
      <c r="I4" s="102"/>
      <c r="J4" s="102"/>
      <c r="K4" s="102"/>
      <c r="L4" s="117">
        <f>E6-E62</f>
        <v>-4190</v>
      </c>
      <c r="Y4" s="23"/>
      <c r="Z4" s="23"/>
      <c r="AA4" s="23"/>
      <c r="AB4" s="23"/>
      <c r="AC4" s="23"/>
      <c r="AD4" s="23"/>
      <c r="AE4" s="23"/>
      <c r="AF4" s="23"/>
    </row>
    <row r="5" spans="1:32" ht="16.149999999999999" customHeight="1" x14ac:dyDescent="0.2">
      <c r="A5" s="2"/>
      <c r="B5" s="115"/>
      <c r="C5" s="105" t="s">
        <v>18</v>
      </c>
      <c r="D5" s="106"/>
      <c r="E5" s="15"/>
      <c r="F5" s="5"/>
      <c r="G5" s="102"/>
      <c r="H5" s="102"/>
      <c r="I5" s="102"/>
      <c r="J5" s="102"/>
      <c r="K5" s="102"/>
      <c r="L5" s="117"/>
      <c r="Q5" s="99"/>
      <c r="R5" s="99"/>
      <c r="S5" s="44"/>
      <c r="T5" s="99"/>
      <c r="U5" s="99"/>
      <c r="V5" s="44"/>
      <c r="W5" s="99"/>
      <c r="X5" s="99"/>
      <c r="Y5" s="44"/>
      <c r="Z5" s="23"/>
      <c r="AA5" s="23"/>
      <c r="AB5" s="23"/>
      <c r="AC5" s="23"/>
      <c r="AD5" s="23"/>
      <c r="AE5" s="23"/>
      <c r="AF5" s="23"/>
    </row>
    <row r="6" spans="1:32" ht="16.149999999999999" customHeight="1" x14ac:dyDescent="0.2">
      <c r="A6" s="2"/>
      <c r="B6" s="116"/>
      <c r="C6" s="100" t="s">
        <v>19</v>
      </c>
      <c r="D6" s="101"/>
      <c r="E6" s="66">
        <f>SUM(E4:E5)</f>
        <v>300</v>
      </c>
      <c r="F6" s="5"/>
      <c r="G6" s="102" t="s">
        <v>35</v>
      </c>
      <c r="H6" s="102"/>
      <c r="I6" s="102"/>
      <c r="J6" s="102"/>
      <c r="K6" s="102"/>
      <c r="L6" s="117">
        <f>E9-E64</f>
        <v>0</v>
      </c>
      <c r="Q6" s="44"/>
      <c r="R6" s="44"/>
      <c r="S6" s="44"/>
      <c r="T6" s="44"/>
      <c r="U6" s="44"/>
      <c r="V6" s="44"/>
      <c r="W6" s="44"/>
      <c r="X6" s="44"/>
      <c r="Y6" s="44"/>
      <c r="Z6" s="23"/>
      <c r="AA6" s="23"/>
      <c r="AB6" s="23"/>
      <c r="AC6" s="23"/>
      <c r="AD6" s="23"/>
      <c r="AE6" s="23"/>
      <c r="AF6" s="23"/>
    </row>
    <row r="7" spans="1:32" ht="16.149999999999999" customHeight="1" x14ac:dyDescent="0.2">
      <c r="A7" s="2"/>
      <c r="B7" s="114" t="s">
        <v>28</v>
      </c>
      <c r="C7" s="105" t="s">
        <v>3</v>
      </c>
      <c r="D7" s="106"/>
      <c r="E7" s="15">
        <f>I23</f>
        <v>0</v>
      </c>
      <c r="F7" s="5"/>
      <c r="G7" s="102"/>
      <c r="H7" s="102"/>
      <c r="I7" s="102"/>
      <c r="J7" s="102"/>
      <c r="K7" s="102"/>
      <c r="L7" s="117"/>
      <c r="P7" s="34"/>
      <c r="Q7" s="44"/>
      <c r="R7" s="44"/>
      <c r="S7" s="44"/>
      <c r="T7" s="44"/>
      <c r="U7" s="44"/>
      <c r="V7" s="44"/>
      <c r="W7" s="44"/>
      <c r="X7" s="44"/>
      <c r="Y7" s="44"/>
    </row>
    <row r="8" spans="1:32" ht="16.149999999999999" customHeight="1" x14ac:dyDescent="0.2">
      <c r="A8" s="2"/>
      <c r="B8" s="115"/>
      <c r="C8" s="105" t="s">
        <v>18</v>
      </c>
      <c r="D8" s="106"/>
      <c r="E8" s="15"/>
      <c r="F8" s="5"/>
      <c r="G8" s="102" t="s">
        <v>36</v>
      </c>
      <c r="H8" s="102"/>
      <c r="I8" s="102"/>
      <c r="J8" s="102"/>
      <c r="K8" s="102"/>
      <c r="L8" s="117">
        <f>L6-L4</f>
        <v>4190</v>
      </c>
      <c r="Q8" s="44"/>
      <c r="R8" s="44"/>
      <c r="S8" s="44"/>
      <c r="T8" s="44"/>
      <c r="U8" s="44"/>
      <c r="V8" s="44"/>
      <c r="W8" s="44"/>
      <c r="X8" s="44"/>
      <c r="Y8" s="44"/>
    </row>
    <row r="9" spans="1:32" ht="16.149999999999999" customHeight="1" x14ac:dyDescent="0.2">
      <c r="A9" s="2"/>
      <c r="B9" s="116"/>
      <c r="C9" s="100" t="s">
        <v>19</v>
      </c>
      <c r="D9" s="101"/>
      <c r="E9" s="66">
        <f>SUM(E7:E8)</f>
        <v>0</v>
      </c>
      <c r="F9" s="5"/>
      <c r="G9" s="102"/>
      <c r="H9" s="102"/>
      <c r="I9" s="102"/>
      <c r="J9" s="102"/>
      <c r="K9" s="102"/>
      <c r="L9" s="117"/>
      <c r="Q9" s="60"/>
      <c r="R9" s="61"/>
      <c r="S9" s="44"/>
      <c r="T9" s="60"/>
      <c r="U9" s="61"/>
      <c r="V9" s="44"/>
      <c r="W9" s="60"/>
      <c r="X9" s="61"/>
      <c r="Y9" s="44"/>
    </row>
    <row r="10" spans="1:32" ht="16.149999999999999" customHeight="1" thickBot="1" x14ac:dyDescent="0.25">
      <c r="A10" s="2"/>
      <c r="B10" s="68"/>
      <c r="C10" s="68"/>
      <c r="D10" s="9"/>
      <c r="E10" s="10"/>
      <c r="F10" s="5"/>
      <c r="G10" s="11"/>
      <c r="H10" s="11"/>
      <c r="I10" s="11"/>
      <c r="J10" s="11"/>
      <c r="K10" s="11"/>
      <c r="L10" s="12"/>
      <c r="R10" s="23"/>
    </row>
    <row r="11" spans="1:32" ht="16.149999999999999" customHeight="1" thickBot="1" x14ac:dyDescent="0.25">
      <c r="A11" s="2"/>
      <c r="B11" s="16" t="s">
        <v>80</v>
      </c>
      <c r="C11" s="17" t="s">
        <v>0</v>
      </c>
      <c r="D11" s="17" t="s">
        <v>1</v>
      </c>
      <c r="E11" s="18" t="s">
        <v>2</v>
      </c>
      <c r="F11" s="5"/>
      <c r="G11" s="11"/>
      <c r="H11" s="92" t="s">
        <v>42</v>
      </c>
      <c r="I11" s="94"/>
      <c r="J11" s="11"/>
      <c r="K11" s="139" t="s">
        <v>104</v>
      </c>
      <c r="L11" s="140"/>
      <c r="M11" s="140"/>
      <c r="N11" s="140"/>
      <c r="O11" s="140"/>
      <c r="P11" s="140"/>
      <c r="Q11" s="140"/>
      <c r="R11" s="140"/>
      <c r="S11" s="140"/>
      <c r="T11" s="140"/>
      <c r="U11" s="140"/>
      <c r="V11" s="140"/>
      <c r="W11" s="140"/>
      <c r="X11" s="141"/>
    </row>
    <row r="12" spans="1:32" ht="16.149999999999999" customHeight="1" thickBot="1" x14ac:dyDescent="0.25">
      <c r="A12" s="2"/>
      <c r="B12" s="22" t="s">
        <v>50</v>
      </c>
      <c r="C12" s="19">
        <f>Table114385062748698265[[#This Row],[Projected Cost]]/2</f>
        <v>2500</v>
      </c>
      <c r="D12" s="19">
        <f>L16</f>
        <v>0</v>
      </c>
      <c r="E12" s="20">
        <f>Table114385062748698230[Projected Cost]-Table114385062748698230[Actual Cost]</f>
        <v>2500</v>
      </c>
      <c r="F12" s="5"/>
      <c r="H12" s="24" t="s">
        <v>38</v>
      </c>
      <c r="I12" s="25" t="s">
        <v>46</v>
      </c>
      <c r="J12" s="41"/>
      <c r="K12" s="148" t="s">
        <v>50</v>
      </c>
      <c r="L12" s="149"/>
      <c r="M12" s="44"/>
      <c r="N12" s="148" t="s">
        <v>51</v>
      </c>
      <c r="O12" s="149"/>
      <c r="P12" s="44"/>
      <c r="Q12" s="150" t="s">
        <v>54</v>
      </c>
      <c r="R12" s="151"/>
      <c r="S12" s="44"/>
      <c r="T12" s="148" t="s">
        <v>5</v>
      </c>
      <c r="U12" s="149"/>
      <c r="V12" s="44"/>
      <c r="W12" s="148" t="s">
        <v>6</v>
      </c>
      <c r="X12" s="149"/>
    </row>
    <row r="13" spans="1:32" ht="16.149999999999999" customHeight="1" thickBot="1" x14ac:dyDescent="0.25">
      <c r="A13" s="2"/>
      <c r="B13" s="22" t="s">
        <v>51</v>
      </c>
      <c r="C13" s="19">
        <v>100</v>
      </c>
      <c r="D13" s="19">
        <f>O16</f>
        <v>0</v>
      </c>
      <c r="E13" s="20">
        <f>Table114385062748698230[Projected Cost]-Table114385062748698230[Actual Cost]</f>
        <v>100</v>
      </c>
      <c r="F13" s="5"/>
      <c r="H13" s="26" t="s">
        <v>44</v>
      </c>
      <c r="I13" s="27"/>
      <c r="J13" s="42"/>
      <c r="K13" s="45" t="s">
        <v>38</v>
      </c>
      <c r="L13" s="46" t="s">
        <v>46</v>
      </c>
      <c r="M13" s="44"/>
      <c r="N13" s="45" t="s">
        <v>38</v>
      </c>
      <c r="O13" s="46" t="s">
        <v>46</v>
      </c>
      <c r="P13" s="44"/>
      <c r="Q13" s="45" t="s">
        <v>38</v>
      </c>
      <c r="R13" s="46" t="s">
        <v>46</v>
      </c>
      <c r="S13" s="44"/>
      <c r="T13" s="45" t="s">
        <v>38</v>
      </c>
      <c r="U13" s="46" t="s">
        <v>46</v>
      </c>
      <c r="V13" s="44"/>
      <c r="W13" s="45" t="s">
        <v>38</v>
      </c>
      <c r="X13" s="46" t="s">
        <v>46</v>
      </c>
    </row>
    <row r="14" spans="1:32" ht="16.149999999999999" customHeight="1" x14ac:dyDescent="0.2">
      <c r="A14" s="2"/>
      <c r="B14" s="22" t="s">
        <v>52</v>
      </c>
      <c r="C14" s="19">
        <v>750</v>
      </c>
      <c r="D14" s="19">
        <f>R22</f>
        <v>0</v>
      </c>
      <c r="E14" s="20">
        <f>Table114385062748698230[Projected Cost]-Table114385062748698230[Actual Cost]</f>
        <v>750</v>
      </c>
      <c r="F14" s="5"/>
      <c r="H14" s="26"/>
      <c r="I14" s="27"/>
      <c r="J14" s="42"/>
      <c r="K14" s="47" t="s">
        <v>53</v>
      </c>
      <c r="L14" s="48"/>
      <c r="M14" s="44"/>
      <c r="N14" s="47" t="s">
        <v>56</v>
      </c>
      <c r="O14" s="48"/>
      <c r="P14" s="44"/>
      <c r="Q14" s="47" t="s">
        <v>55</v>
      </c>
      <c r="R14" s="48"/>
      <c r="S14" s="44"/>
      <c r="T14" s="47" t="s">
        <v>57</v>
      </c>
      <c r="U14" s="48"/>
      <c r="V14" s="44"/>
      <c r="W14" s="47"/>
      <c r="X14" s="48"/>
    </row>
    <row r="15" spans="1:32" ht="16.149999999999999" customHeight="1" thickBot="1" x14ac:dyDescent="0.25">
      <c r="A15" s="2"/>
      <c r="B15" s="22" t="s">
        <v>5</v>
      </c>
      <c r="C15" s="19">
        <v>100</v>
      </c>
      <c r="D15" s="19">
        <f>U22</f>
        <v>0</v>
      </c>
      <c r="E15" s="20">
        <f>Table114385062748698230[Projected Cost]-Table114385062748698230[Actual Cost]</f>
        <v>100</v>
      </c>
      <c r="F15" s="5"/>
      <c r="H15" s="26"/>
      <c r="I15" s="27"/>
      <c r="J15" s="42"/>
      <c r="K15" s="47"/>
      <c r="L15" s="48"/>
      <c r="M15" s="44"/>
      <c r="N15" s="47"/>
      <c r="O15" s="48"/>
      <c r="P15" s="44"/>
      <c r="Q15" s="47"/>
      <c r="R15" s="48"/>
      <c r="S15" s="44"/>
      <c r="T15" s="47"/>
      <c r="U15" s="48"/>
      <c r="V15" s="44"/>
      <c r="W15" s="47"/>
      <c r="X15" s="48"/>
    </row>
    <row r="16" spans="1:32" ht="16.149999999999999" customHeight="1" thickBot="1" x14ac:dyDescent="0.25">
      <c r="A16" s="2"/>
      <c r="B16" s="22" t="s">
        <v>6</v>
      </c>
      <c r="C16" s="19">
        <v>50</v>
      </c>
      <c r="D16" s="19">
        <f>X18</f>
        <v>0</v>
      </c>
      <c r="E16" s="20">
        <f>Table114385062748698230[Projected Cost]-Table114385062748698230[Actual Cost]</f>
        <v>50</v>
      </c>
      <c r="F16" s="5"/>
      <c r="H16" s="26"/>
      <c r="I16" s="27"/>
      <c r="J16" s="42"/>
      <c r="K16" s="49" t="s">
        <v>33</v>
      </c>
      <c r="L16" s="50">
        <f>SUM(L14:L15)</f>
        <v>0</v>
      </c>
      <c r="M16" s="44"/>
      <c r="N16" s="49" t="s">
        <v>33</v>
      </c>
      <c r="O16" s="50">
        <f>SUM(O14:O15)</f>
        <v>0</v>
      </c>
      <c r="P16" s="44"/>
      <c r="Q16" s="47"/>
      <c r="R16" s="48"/>
      <c r="S16" s="44"/>
      <c r="T16" s="47"/>
      <c r="U16" s="48"/>
      <c r="V16" s="44"/>
      <c r="W16" s="47"/>
      <c r="X16" s="48"/>
    </row>
    <row r="17" spans="1:24" ht="16.149999999999999" customHeight="1" thickBot="1" x14ac:dyDescent="0.25">
      <c r="A17" s="2"/>
      <c r="B17" s="16" t="s">
        <v>33</v>
      </c>
      <c r="C17" s="19">
        <f>SUBTOTAL(109,Table114385062748698230[Projected Cost])</f>
        <v>3500</v>
      </c>
      <c r="D17" s="19">
        <f>SUBTOTAL(109,Table114385062748698230[Actual Cost])</f>
        <v>0</v>
      </c>
      <c r="E17" s="21">
        <f>SUBTOTAL(109,Table114385062748698230[Difference])</f>
        <v>3500</v>
      </c>
      <c r="F17" s="5"/>
      <c r="H17" s="28"/>
      <c r="I17" s="29"/>
      <c r="J17" s="42"/>
      <c r="K17" s="51"/>
      <c r="L17" s="44"/>
      <c r="M17" s="44"/>
      <c r="N17" s="44"/>
      <c r="O17" s="44"/>
      <c r="P17" s="44"/>
      <c r="Q17" s="47"/>
      <c r="R17" s="48"/>
      <c r="S17" s="44"/>
      <c r="T17" s="47"/>
      <c r="U17" s="48"/>
      <c r="V17" s="44"/>
      <c r="W17" s="47"/>
      <c r="X17" s="48"/>
    </row>
    <row r="18" spans="1:24" ht="16.149999999999999" customHeight="1" thickBot="1" x14ac:dyDescent="0.25">
      <c r="A18" s="2"/>
      <c r="B18" s="16"/>
      <c r="C18" s="19"/>
      <c r="D18" s="19"/>
      <c r="E18" s="21"/>
      <c r="F18" s="5"/>
      <c r="H18" s="28"/>
      <c r="I18" s="29"/>
      <c r="J18" s="42"/>
      <c r="K18" s="52"/>
      <c r="L18" s="53"/>
      <c r="M18" s="44"/>
      <c r="N18" s="44"/>
      <c r="O18" s="44"/>
      <c r="P18" s="44"/>
      <c r="Q18" s="47"/>
      <c r="R18" s="48"/>
      <c r="S18" s="44"/>
      <c r="T18" s="47"/>
      <c r="U18" s="48"/>
      <c r="V18" s="44"/>
      <c r="W18" s="49" t="s">
        <v>33</v>
      </c>
      <c r="X18" s="50">
        <f>SUM(X14:X17)</f>
        <v>0</v>
      </c>
    </row>
    <row r="19" spans="1:24" ht="16.149999999999999" customHeight="1" x14ac:dyDescent="0.2">
      <c r="A19" s="2"/>
      <c r="B19" s="16" t="s">
        <v>22</v>
      </c>
      <c r="C19" s="17" t="s">
        <v>0</v>
      </c>
      <c r="D19" s="17" t="s">
        <v>1</v>
      </c>
      <c r="E19" s="18" t="s">
        <v>2</v>
      </c>
      <c r="F19" s="14"/>
      <c r="H19" s="28"/>
      <c r="I19" s="29"/>
      <c r="J19" s="42"/>
      <c r="K19" s="52"/>
      <c r="L19" s="53"/>
      <c r="M19" s="44"/>
      <c r="N19" s="44"/>
      <c r="O19" s="44"/>
      <c r="P19" s="44"/>
      <c r="Q19" s="47"/>
      <c r="R19" s="48"/>
      <c r="S19" s="44"/>
      <c r="T19" s="47"/>
      <c r="U19" s="48"/>
      <c r="V19" s="44"/>
      <c r="W19" s="44"/>
      <c r="X19" s="54"/>
    </row>
    <row r="20" spans="1:24" ht="15.75" customHeight="1" x14ac:dyDescent="0.2">
      <c r="A20" s="2"/>
      <c r="B20" s="22" t="s">
        <v>48</v>
      </c>
      <c r="C20" s="19">
        <f>IF('Starting Page'!I24="Yes",'Starting Page'!I25/8,IF('Starting Page'!I27="Yes",'Starting Page'!I28,0))</f>
        <v>0</v>
      </c>
      <c r="D20" s="19">
        <f>L29</f>
        <v>0</v>
      </c>
      <c r="E20" s="20">
        <f>Table11438506274869824[Projected Cost]-Table11438506274869824[Actual Cost]</f>
        <v>0</v>
      </c>
      <c r="F20" s="67"/>
      <c r="H20" s="28"/>
      <c r="I20" s="29"/>
      <c r="J20" s="42"/>
      <c r="K20" s="51"/>
      <c r="L20" s="44"/>
      <c r="M20" s="44"/>
      <c r="N20" s="44"/>
      <c r="O20" s="44"/>
      <c r="P20" s="44"/>
      <c r="Q20" s="47"/>
      <c r="R20" s="48"/>
      <c r="S20" s="44"/>
      <c r="T20" s="47"/>
      <c r="U20" s="48"/>
      <c r="V20" s="44"/>
      <c r="W20" s="44"/>
      <c r="X20" s="54"/>
    </row>
    <row r="21" spans="1:24" ht="15.75" customHeight="1" thickBot="1" x14ac:dyDescent="0.25">
      <c r="A21" s="2"/>
      <c r="B21" s="22" t="s">
        <v>4</v>
      </c>
      <c r="C21" s="19">
        <v>70</v>
      </c>
      <c r="D21" s="19">
        <f>O29</f>
        <v>0</v>
      </c>
      <c r="E21" s="20">
        <f>Table11438506274869824[Projected Cost]-Table11438506274869824[Actual Cost]</f>
        <v>70</v>
      </c>
      <c r="F21" s="67"/>
      <c r="H21" s="28"/>
      <c r="I21" s="29"/>
      <c r="J21" s="42"/>
      <c r="K21" s="51"/>
      <c r="L21" s="44"/>
      <c r="M21" s="44"/>
      <c r="N21" s="44"/>
      <c r="O21" s="44"/>
      <c r="P21" s="44"/>
      <c r="Q21" s="47"/>
      <c r="R21" s="48"/>
      <c r="S21" s="44"/>
      <c r="T21" s="47"/>
      <c r="U21" s="48"/>
      <c r="V21" s="44"/>
      <c r="W21" s="44"/>
      <c r="X21" s="54"/>
    </row>
    <row r="22" spans="1:24" ht="15.75" customHeight="1" thickBot="1" x14ac:dyDescent="0.25">
      <c r="A22" s="2"/>
      <c r="B22" s="22" t="s">
        <v>47</v>
      </c>
      <c r="C22" s="19">
        <v>20</v>
      </c>
      <c r="D22" s="19">
        <f>R29</f>
        <v>0</v>
      </c>
      <c r="E22" s="20">
        <f>Table11438506274869824[Projected Cost]-Table11438506274869824[Actual Cost]</f>
        <v>20</v>
      </c>
      <c r="F22" s="67"/>
      <c r="H22" s="28"/>
      <c r="I22" s="29"/>
      <c r="J22" s="42"/>
      <c r="K22" s="55"/>
      <c r="L22" s="56"/>
      <c r="M22" s="56"/>
      <c r="N22" s="56"/>
      <c r="O22" s="56"/>
      <c r="P22" s="56"/>
      <c r="Q22" s="49" t="s">
        <v>33</v>
      </c>
      <c r="R22" s="50">
        <f>SUM(R14:R21)</f>
        <v>0</v>
      </c>
      <c r="S22" s="56"/>
      <c r="T22" s="49" t="s">
        <v>33</v>
      </c>
      <c r="U22" s="50">
        <f>SUM(U14:U21)</f>
        <v>0</v>
      </c>
      <c r="V22" s="56"/>
      <c r="W22" s="56"/>
      <c r="X22" s="57"/>
    </row>
    <row r="23" spans="1:24" ht="15.75" customHeight="1" thickBot="1" x14ac:dyDescent="0.25">
      <c r="A23" s="2"/>
      <c r="B23" s="22" t="s">
        <v>37</v>
      </c>
      <c r="C23" s="19">
        <v>20</v>
      </c>
      <c r="D23" s="19">
        <f>U29</f>
        <v>0</v>
      </c>
      <c r="E23" s="20">
        <f>Table11438506274869824[Projected Cost]-Table11438506274869824[Actual Cost]</f>
        <v>20</v>
      </c>
      <c r="F23" s="67"/>
      <c r="H23" s="36" t="s">
        <v>33</v>
      </c>
      <c r="I23" s="30">
        <f>SUM(I13:I22)</f>
        <v>0</v>
      </c>
      <c r="J23" s="42"/>
      <c r="U23" s="23"/>
    </row>
    <row r="24" spans="1:24" ht="15.75" customHeight="1" thickBot="1" x14ac:dyDescent="0.25">
      <c r="A24" s="2"/>
      <c r="B24" s="22" t="s">
        <v>6</v>
      </c>
      <c r="C24" s="19">
        <v>50</v>
      </c>
      <c r="D24" s="19">
        <f>X29</f>
        <v>0</v>
      </c>
      <c r="E24" s="20">
        <f>Table11438506274869824[Projected Cost]-Table11438506274869824[Actual Cost]</f>
        <v>50</v>
      </c>
      <c r="F24" s="67"/>
      <c r="I24" s="43"/>
      <c r="J24" s="42"/>
      <c r="K24" s="139" t="s">
        <v>58</v>
      </c>
      <c r="L24" s="140"/>
      <c r="M24" s="140"/>
      <c r="N24" s="140"/>
      <c r="O24" s="140"/>
      <c r="P24" s="140"/>
      <c r="Q24" s="140"/>
      <c r="R24" s="140"/>
      <c r="S24" s="140"/>
      <c r="T24" s="140"/>
      <c r="U24" s="140"/>
      <c r="V24" s="140"/>
      <c r="W24" s="140"/>
      <c r="X24" s="141"/>
    </row>
    <row r="25" spans="1:24" ht="15.75" customHeight="1" thickBot="1" x14ac:dyDescent="0.25">
      <c r="A25" s="2"/>
      <c r="B25" s="16" t="s">
        <v>33</v>
      </c>
      <c r="C25" s="19">
        <f>SUBTOTAL(109,Table11438506274869824[Projected Cost])</f>
        <v>160</v>
      </c>
      <c r="D25" s="19">
        <f>SUBTOTAL(109,Table11438506274869824[Actual Cost])</f>
        <v>0</v>
      </c>
      <c r="E25" s="21">
        <f>SUBTOTAL(109,Table11438506274869824[Difference])</f>
        <v>160</v>
      </c>
      <c r="F25" s="67"/>
      <c r="J25" s="42"/>
      <c r="K25" s="148" t="s">
        <v>48</v>
      </c>
      <c r="L25" s="149"/>
      <c r="M25" s="44"/>
      <c r="N25" s="148" t="s">
        <v>4</v>
      </c>
      <c r="O25" s="149"/>
      <c r="P25" s="44"/>
      <c r="Q25" s="148" t="s">
        <v>47</v>
      </c>
      <c r="R25" s="149"/>
      <c r="S25" s="44"/>
      <c r="T25" s="148" t="s">
        <v>37</v>
      </c>
      <c r="U25" s="149"/>
      <c r="V25" s="44"/>
      <c r="W25" s="148" t="s">
        <v>6</v>
      </c>
      <c r="X25" s="149"/>
    </row>
    <row r="26" spans="1:24" ht="15.75" customHeight="1" thickBot="1" x14ac:dyDescent="0.25">
      <c r="A26" s="2"/>
      <c r="B26" s="113"/>
      <c r="C26" s="113"/>
      <c r="D26" s="113"/>
      <c r="E26" s="113"/>
      <c r="F26" s="67"/>
      <c r="J26" s="42"/>
      <c r="K26" s="45" t="s">
        <v>38</v>
      </c>
      <c r="L26" s="46" t="s">
        <v>46</v>
      </c>
      <c r="M26" s="44"/>
      <c r="N26" s="45" t="s">
        <v>38</v>
      </c>
      <c r="O26" s="46" t="s">
        <v>46</v>
      </c>
      <c r="P26" s="44"/>
      <c r="Q26" s="45" t="s">
        <v>38</v>
      </c>
      <c r="R26" s="46" t="s">
        <v>46</v>
      </c>
      <c r="S26" s="44"/>
      <c r="T26" s="45" t="s">
        <v>38</v>
      </c>
      <c r="U26" s="46" t="s">
        <v>46</v>
      </c>
      <c r="V26" s="44"/>
      <c r="W26" s="45" t="s">
        <v>38</v>
      </c>
      <c r="X26" s="46" t="s">
        <v>46</v>
      </c>
    </row>
    <row r="27" spans="1:24" ht="15.75" customHeight="1" x14ac:dyDescent="0.2">
      <c r="A27" s="2"/>
      <c r="B27" s="16" t="s">
        <v>24</v>
      </c>
      <c r="C27" s="17" t="s">
        <v>0</v>
      </c>
      <c r="D27" s="17" t="s">
        <v>1</v>
      </c>
      <c r="E27" s="18" t="s">
        <v>2</v>
      </c>
      <c r="F27" s="67"/>
      <c r="J27" s="42"/>
      <c r="K27" s="47" t="s">
        <v>48</v>
      </c>
      <c r="L27" s="48"/>
      <c r="M27" s="44"/>
      <c r="N27" s="47" t="s">
        <v>59</v>
      </c>
      <c r="O27" s="48"/>
      <c r="P27" s="44"/>
      <c r="Q27" s="47" t="s">
        <v>60</v>
      </c>
      <c r="R27" s="48"/>
      <c r="S27" s="44"/>
      <c r="T27" s="47" t="s">
        <v>59</v>
      </c>
      <c r="U27" s="48"/>
      <c r="V27" s="44"/>
      <c r="W27" s="47" t="s">
        <v>61</v>
      </c>
      <c r="X27" s="48"/>
    </row>
    <row r="28" spans="1:24" ht="15.75" customHeight="1" thickBot="1" x14ac:dyDescent="0.25">
      <c r="A28" s="2"/>
      <c r="B28" s="22" t="s">
        <v>20</v>
      </c>
      <c r="C28" s="19">
        <v>0</v>
      </c>
      <c r="D28" s="19">
        <f>L36</f>
        <v>0</v>
      </c>
      <c r="E28" s="20">
        <f>Table321455769819310527[Projected Cost]-Table321455769819310527[Actual Cost]</f>
        <v>0</v>
      </c>
      <c r="F28" s="67"/>
      <c r="J28" s="43"/>
      <c r="K28" s="47"/>
      <c r="L28" s="48"/>
      <c r="M28" s="44"/>
      <c r="N28" s="47"/>
      <c r="O28" s="48"/>
      <c r="P28" s="44"/>
      <c r="Q28" s="47"/>
      <c r="R28" s="48"/>
      <c r="S28" s="44"/>
      <c r="T28" s="47"/>
      <c r="U28" s="48"/>
      <c r="V28" s="44"/>
      <c r="W28" s="47"/>
      <c r="X28" s="48"/>
    </row>
    <row r="29" spans="1:24" ht="15.75" customHeight="1" thickBot="1" x14ac:dyDescent="0.25">
      <c r="A29" s="2"/>
      <c r="B29" s="22" t="s">
        <v>7</v>
      </c>
      <c r="C29" s="19">
        <v>0</v>
      </c>
      <c r="D29" s="19">
        <f>O36</f>
        <v>0</v>
      </c>
      <c r="E29" s="20">
        <f>Table321455769819310527[Projected Cost]-Table321455769819310527[Actual Cost]</f>
        <v>0</v>
      </c>
      <c r="F29" s="67"/>
      <c r="K29" s="49" t="s">
        <v>33</v>
      </c>
      <c r="L29" s="50">
        <f>SUM(L27:L28)</f>
        <v>0</v>
      </c>
      <c r="M29" s="56"/>
      <c r="N29" s="49" t="s">
        <v>33</v>
      </c>
      <c r="O29" s="50">
        <f>SUM(O27:O28)</f>
        <v>0</v>
      </c>
      <c r="P29" s="56"/>
      <c r="Q29" s="49" t="s">
        <v>33</v>
      </c>
      <c r="R29" s="50">
        <f>SUM(R27:R28)</f>
        <v>0</v>
      </c>
      <c r="S29" s="56"/>
      <c r="T29" s="49" t="s">
        <v>33</v>
      </c>
      <c r="U29" s="50">
        <f>SUM(U27:U28)</f>
        <v>0</v>
      </c>
      <c r="V29" s="56"/>
      <c r="W29" s="49" t="s">
        <v>33</v>
      </c>
      <c r="X29" s="50">
        <f>SUM(X27:X28)</f>
        <v>0</v>
      </c>
    </row>
    <row r="30" spans="1:24" ht="15.75" customHeight="1" thickBot="1" x14ac:dyDescent="0.25">
      <c r="A30" s="2"/>
      <c r="B30" s="22" t="s">
        <v>8</v>
      </c>
      <c r="C30" s="19">
        <v>0</v>
      </c>
      <c r="D30" s="19">
        <f>R40</f>
        <v>0</v>
      </c>
      <c r="E30" s="20">
        <f>Table321455769819310527[Projected Cost]-Table321455769819310527[Actual Cost]</f>
        <v>0</v>
      </c>
      <c r="F30" s="67"/>
      <c r="K30" s="44"/>
      <c r="L30" s="44"/>
      <c r="M30" s="44"/>
      <c r="N30" s="44"/>
      <c r="O30" s="44"/>
      <c r="P30" s="44"/>
      <c r="Q30" s="58"/>
      <c r="R30" s="58"/>
      <c r="S30" s="58"/>
      <c r="T30" s="58"/>
      <c r="U30" s="58"/>
      <c r="V30" s="44"/>
      <c r="W30" s="44"/>
      <c r="X30" s="44"/>
    </row>
    <row r="31" spans="1:24" ht="15.75" customHeight="1" thickBot="1" x14ac:dyDescent="0.25">
      <c r="A31" s="2"/>
      <c r="B31" s="22" t="s">
        <v>9</v>
      </c>
      <c r="C31" s="19">
        <v>0</v>
      </c>
      <c r="D31" s="19">
        <f>U38</f>
        <v>0</v>
      </c>
      <c r="E31" s="20">
        <f>Table321455769819310527[Projected Cost]-Table321455769819310527[Actual Cost]</f>
        <v>0</v>
      </c>
      <c r="F31" s="67"/>
      <c r="K31" s="139" t="s">
        <v>63</v>
      </c>
      <c r="L31" s="140"/>
      <c r="M31" s="140"/>
      <c r="N31" s="140"/>
      <c r="O31" s="140"/>
      <c r="P31" s="140"/>
      <c r="Q31" s="140"/>
      <c r="R31" s="140"/>
      <c r="S31" s="140"/>
      <c r="T31" s="140"/>
      <c r="U31" s="140"/>
      <c r="V31" s="140"/>
      <c r="W31" s="140"/>
      <c r="X31" s="141"/>
    </row>
    <row r="32" spans="1:24" ht="15.75" customHeight="1" thickBot="1" x14ac:dyDescent="0.25">
      <c r="A32" s="2"/>
      <c r="B32" s="22" t="s">
        <v>62</v>
      </c>
      <c r="C32" s="19">
        <v>50</v>
      </c>
      <c r="D32" s="19">
        <f>X40</f>
        <v>0</v>
      </c>
      <c r="E32" s="20">
        <f>Table321455769819310527[Projected Cost]-Table321455769819310527[Actual Cost]</f>
        <v>50</v>
      </c>
      <c r="F32" s="67"/>
      <c r="K32" s="148" t="s">
        <v>39</v>
      </c>
      <c r="L32" s="149"/>
      <c r="M32" s="44"/>
      <c r="N32" s="148" t="s">
        <v>7</v>
      </c>
      <c r="O32" s="149"/>
      <c r="P32" s="44"/>
      <c r="Q32" s="148" t="s">
        <v>8</v>
      </c>
      <c r="R32" s="149"/>
      <c r="S32" s="44"/>
      <c r="T32" s="148" t="s">
        <v>9</v>
      </c>
      <c r="U32" s="149"/>
      <c r="V32" s="44"/>
      <c r="W32" s="148" t="s">
        <v>62</v>
      </c>
      <c r="X32" s="149"/>
    </row>
    <row r="33" spans="1:24" ht="15.75" customHeight="1" thickBot="1" x14ac:dyDescent="0.25">
      <c r="A33" s="2"/>
      <c r="B33" s="16" t="s">
        <v>33</v>
      </c>
      <c r="C33" s="19">
        <f>SUBTOTAL(109,Table321455769819310527[Projected Cost])</f>
        <v>50</v>
      </c>
      <c r="D33" s="19">
        <f>SUBTOTAL(109,Table321455769819310527[Actual Cost])</f>
        <v>0</v>
      </c>
      <c r="E33" s="21">
        <f>SUBTOTAL(109,Table321455769819310527[Difference])</f>
        <v>50</v>
      </c>
      <c r="F33" s="67"/>
      <c r="K33" s="45" t="s">
        <v>38</v>
      </c>
      <c r="L33" s="46" t="s">
        <v>46</v>
      </c>
      <c r="M33" s="44"/>
      <c r="N33" s="45" t="s">
        <v>38</v>
      </c>
      <c r="O33" s="46" t="s">
        <v>46</v>
      </c>
      <c r="P33" s="44"/>
      <c r="Q33" s="45" t="s">
        <v>38</v>
      </c>
      <c r="R33" s="46" t="s">
        <v>46</v>
      </c>
      <c r="S33" s="44"/>
      <c r="T33" s="45" t="s">
        <v>38</v>
      </c>
      <c r="U33" s="46" t="s">
        <v>46</v>
      </c>
      <c r="V33" s="44"/>
      <c r="W33" s="45" t="s">
        <v>38</v>
      </c>
      <c r="X33" s="46" t="s">
        <v>46</v>
      </c>
    </row>
    <row r="34" spans="1:24" ht="15.75" customHeight="1" x14ac:dyDescent="0.2">
      <c r="A34" s="2"/>
      <c r="B34" s="113"/>
      <c r="C34" s="113"/>
      <c r="D34" s="113"/>
      <c r="E34" s="113"/>
      <c r="F34" s="67"/>
      <c r="K34" s="47" t="s">
        <v>64</v>
      </c>
      <c r="L34" s="48"/>
      <c r="M34" s="44"/>
      <c r="N34" s="47" t="s">
        <v>59</v>
      </c>
      <c r="O34" s="48"/>
      <c r="P34" s="44"/>
      <c r="Q34" s="47" t="s">
        <v>65</v>
      </c>
      <c r="R34" s="48"/>
      <c r="S34" s="44"/>
      <c r="T34" s="47" t="s">
        <v>67</v>
      </c>
      <c r="U34" s="48"/>
      <c r="V34" s="44"/>
      <c r="W34" s="47" t="s">
        <v>66</v>
      </c>
      <c r="X34" s="48"/>
    </row>
    <row r="35" spans="1:24" ht="15.75" customHeight="1" thickBot="1" x14ac:dyDescent="0.25">
      <c r="A35" s="2"/>
      <c r="B35" s="16" t="s">
        <v>25</v>
      </c>
      <c r="C35" s="17" t="s">
        <v>0</v>
      </c>
      <c r="D35" s="17" t="s">
        <v>1</v>
      </c>
      <c r="E35" s="18" t="s">
        <v>2</v>
      </c>
      <c r="F35" s="67"/>
      <c r="K35" s="47"/>
      <c r="L35" s="48"/>
      <c r="M35" s="44"/>
      <c r="N35" s="47"/>
      <c r="O35" s="48"/>
      <c r="P35" s="44"/>
      <c r="Q35" s="47"/>
      <c r="R35" s="48"/>
      <c r="S35" s="44"/>
      <c r="T35" s="47"/>
      <c r="U35" s="48"/>
      <c r="V35" s="44"/>
      <c r="W35" s="47"/>
      <c r="X35" s="48"/>
    </row>
    <row r="36" spans="1:24" ht="15.75" customHeight="1" thickBot="1" x14ac:dyDescent="0.25">
      <c r="A36" s="2"/>
      <c r="B36" s="22" t="s">
        <v>68</v>
      </c>
      <c r="C36" s="19">
        <v>15</v>
      </c>
      <c r="D36" s="19">
        <f>L46</f>
        <v>0</v>
      </c>
      <c r="E36" s="20">
        <f>Table41539516375879925[Projected Cost]-Table41539516375879925[Actual Cost]</f>
        <v>15</v>
      </c>
      <c r="F36" s="67"/>
      <c r="K36" s="49" t="s">
        <v>33</v>
      </c>
      <c r="L36" s="50">
        <f>SUM(L34:L35)</f>
        <v>0</v>
      </c>
      <c r="M36" s="44"/>
      <c r="N36" s="49" t="s">
        <v>33</v>
      </c>
      <c r="O36" s="50">
        <f>SUM(O34:O35)</f>
        <v>0</v>
      </c>
      <c r="P36" s="44"/>
      <c r="Q36" s="47"/>
      <c r="R36" s="48"/>
      <c r="S36" s="44"/>
      <c r="T36" s="47"/>
      <c r="U36" s="48"/>
      <c r="V36" s="44"/>
      <c r="W36" s="47"/>
      <c r="X36" s="48"/>
    </row>
    <row r="37" spans="1:24" ht="15.75" customHeight="1" thickBot="1" x14ac:dyDescent="0.25">
      <c r="A37" s="2"/>
      <c r="B37" s="16" t="s">
        <v>33</v>
      </c>
      <c r="C37" s="19">
        <f>SUBTOTAL(109,Table41539516375879925[Projected Cost])</f>
        <v>15</v>
      </c>
      <c r="D37" s="19">
        <f>SUBTOTAL(109,Table41539516375879925[Actual Cost])</f>
        <v>0</v>
      </c>
      <c r="E37" s="21">
        <f>SUBTOTAL(109,Table41539516375879925[Difference])</f>
        <v>15</v>
      </c>
      <c r="F37" s="67"/>
      <c r="K37" s="62"/>
      <c r="L37" s="58"/>
      <c r="M37" s="44"/>
      <c r="N37" s="58"/>
      <c r="O37" s="58"/>
      <c r="P37" s="44"/>
      <c r="Q37" s="47"/>
      <c r="R37" s="48"/>
      <c r="S37" s="44"/>
      <c r="T37" s="47"/>
      <c r="U37" s="48"/>
      <c r="V37" s="44"/>
      <c r="W37" s="47"/>
      <c r="X37" s="48"/>
    </row>
    <row r="38" spans="1:24" ht="15.75" customHeight="1" thickBot="1" x14ac:dyDescent="0.25">
      <c r="A38" s="2"/>
      <c r="B38" s="113"/>
      <c r="C38" s="113"/>
      <c r="D38" s="113"/>
      <c r="E38" s="113"/>
      <c r="F38" s="67"/>
      <c r="K38" s="62"/>
      <c r="L38" s="58"/>
      <c r="M38" s="44"/>
      <c r="N38" s="58"/>
      <c r="O38" s="58"/>
      <c r="P38" s="44"/>
      <c r="Q38" s="47"/>
      <c r="R38" s="48"/>
      <c r="S38" s="44"/>
      <c r="T38" s="49" t="s">
        <v>33</v>
      </c>
      <c r="U38" s="50">
        <f>SUM(U34:U37)</f>
        <v>0</v>
      </c>
      <c r="V38" s="44"/>
      <c r="W38" s="47"/>
      <c r="X38" s="48"/>
    </row>
    <row r="39" spans="1:24" ht="15.75" customHeight="1" thickBot="1" x14ac:dyDescent="0.25">
      <c r="A39" s="2"/>
      <c r="B39" s="16" t="s">
        <v>26</v>
      </c>
      <c r="C39" s="17" t="s">
        <v>0</v>
      </c>
      <c r="D39" s="17" t="s">
        <v>1</v>
      </c>
      <c r="E39" s="18" t="s">
        <v>2</v>
      </c>
      <c r="F39" s="67"/>
      <c r="K39" s="62"/>
      <c r="L39" s="58"/>
      <c r="M39" s="44"/>
      <c r="N39" s="58"/>
      <c r="O39" s="58"/>
      <c r="P39" s="44"/>
      <c r="Q39" s="47"/>
      <c r="R39" s="48"/>
      <c r="S39" s="44"/>
      <c r="T39" s="58"/>
      <c r="U39" s="58"/>
      <c r="V39" s="44"/>
      <c r="W39" s="47"/>
      <c r="X39" s="48"/>
    </row>
    <row r="40" spans="1:24" ht="15.75" customHeight="1" thickBot="1" x14ac:dyDescent="0.25">
      <c r="A40" s="2"/>
      <c r="B40" s="22" t="s">
        <v>92</v>
      </c>
      <c r="C40" s="19">
        <f>IF('Starting Page'!I24="Yes",'Starting Page'!I26/8,300)</f>
        <v>300</v>
      </c>
      <c r="D40" s="19">
        <f>O53</f>
        <v>0</v>
      </c>
      <c r="E40" s="20">
        <f>Table519435567799110326[Projected Cost]-Table519435567799110326[Actual Cost]</f>
        <v>300</v>
      </c>
      <c r="F40" s="67"/>
      <c r="K40" s="63"/>
      <c r="L40" s="59"/>
      <c r="M40" s="56"/>
      <c r="N40" s="59"/>
      <c r="O40" s="59"/>
      <c r="P40" s="56"/>
      <c r="Q40" s="49" t="s">
        <v>33</v>
      </c>
      <c r="R40" s="50">
        <f>SUM(R34:R39)</f>
        <v>0</v>
      </c>
      <c r="S40" s="56"/>
      <c r="T40" s="59"/>
      <c r="U40" s="59"/>
      <c r="V40" s="56"/>
      <c r="W40" s="49" t="s">
        <v>33</v>
      </c>
      <c r="X40" s="50">
        <f>SUM(X34:X39)</f>
        <v>0</v>
      </c>
    </row>
    <row r="41" spans="1:24" ht="15.75" customHeight="1" thickBot="1" x14ac:dyDescent="0.25">
      <c r="A41" s="2"/>
      <c r="B41" s="22" t="s">
        <v>15</v>
      </c>
      <c r="C41" s="19">
        <v>100</v>
      </c>
      <c r="D41" s="19">
        <f>R53</f>
        <v>0</v>
      </c>
      <c r="E41" s="20">
        <f>Table519435567799110326[Projected Cost]-Table519435567799110326[Actual Cost]</f>
        <v>100</v>
      </c>
      <c r="F41" s="67"/>
    </row>
    <row r="42" spans="1:24" ht="15.75" customHeight="1" thickBot="1" x14ac:dyDescent="0.25">
      <c r="A42" s="2"/>
      <c r="B42" s="22" t="s">
        <v>6</v>
      </c>
      <c r="C42" s="19">
        <v>0</v>
      </c>
      <c r="D42" s="19">
        <f>U49</f>
        <v>0</v>
      </c>
      <c r="E42" s="20">
        <f>Table519435567799110326[Projected Cost]-Table519435567799110326[Actual Cost]</f>
        <v>0</v>
      </c>
      <c r="F42" s="67"/>
      <c r="K42" s="144" t="s">
        <v>68</v>
      </c>
      <c r="L42" s="145"/>
      <c r="N42" s="139" t="s">
        <v>11</v>
      </c>
      <c r="O42" s="140"/>
      <c r="P42" s="140"/>
      <c r="Q42" s="140"/>
      <c r="R42" s="140"/>
      <c r="S42" s="140"/>
      <c r="T42" s="140"/>
      <c r="U42" s="141"/>
    </row>
    <row r="43" spans="1:24" ht="15.75" customHeight="1" thickBot="1" x14ac:dyDescent="0.25">
      <c r="A43" s="2"/>
      <c r="B43" s="16" t="s">
        <v>33</v>
      </c>
      <c r="C43" s="19">
        <f>SUBTOTAL(109,Table519435567799110326[Projected Cost])</f>
        <v>400</v>
      </c>
      <c r="D43" s="19">
        <f>SUBTOTAL(109,Table519435567799110326[Actual Cost])</f>
        <v>0</v>
      </c>
      <c r="E43" s="21">
        <f>SUBTOTAL(109,Table519435567799110326[Difference])</f>
        <v>400</v>
      </c>
      <c r="F43" s="67"/>
      <c r="K43" s="45" t="s">
        <v>38</v>
      </c>
      <c r="L43" s="46" t="s">
        <v>46</v>
      </c>
      <c r="N43" s="148" t="s">
        <v>10</v>
      </c>
      <c r="O43" s="149"/>
      <c r="P43" s="44"/>
      <c r="Q43" s="148" t="s">
        <v>40</v>
      </c>
      <c r="R43" s="149"/>
      <c r="S43" s="58"/>
      <c r="T43" s="148" t="s">
        <v>6</v>
      </c>
      <c r="U43" s="149"/>
    </row>
    <row r="44" spans="1:24" ht="15.75" customHeight="1" thickBot="1" x14ac:dyDescent="0.25">
      <c r="A44" s="2"/>
      <c r="B44" s="113"/>
      <c r="C44" s="113"/>
      <c r="D44" s="113"/>
      <c r="E44" s="113"/>
      <c r="F44" s="67"/>
      <c r="K44" s="47" t="s">
        <v>59</v>
      </c>
      <c r="L44" s="48"/>
      <c r="N44" s="45" t="s">
        <v>38</v>
      </c>
      <c r="O44" s="46" t="s">
        <v>46</v>
      </c>
      <c r="P44" s="44"/>
      <c r="Q44" s="45" t="s">
        <v>38</v>
      </c>
      <c r="R44" s="46" t="s">
        <v>46</v>
      </c>
      <c r="S44" s="58"/>
      <c r="T44" s="45" t="s">
        <v>38</v>
      </c>
      <c r="U44" s="46" t="s">
        <v>46</v>
      </c>
    </row>
    <row r="45" spans="1:24" ht="15.75" customHeight="1" thickBot="1" x14ac:dyDescent="0.25">
      <c r="A45" s="2"/>
      <c r="B45" s="16" t="s">
        <v>27</v>
      </c>
      <c r="C45" s="17" t="s">
        <v>0</v>
      </c>
      <c r="D45" s="17" t="s">
        <v>1</v>
      </c>
      <c r="E45" s="18" t="s">
        <v>2</v>
      </c>
      <c r="F45" s="67"/>
      <c r="K45" s="47"/>
      <c r="L45" s="48"/>
      <c r="N45" s="47" t="s">
        <v>69</v>
      </c>
      <c r="O45" s="48"/>
      <c r="P45" s="44"/>
      <c r="Q45" s="47" t="s">
        <v>70</v>
      </c>
      <c r="R45" s="48"/>
      <c r="S45" s="58"/>
      <c r="T45" s="47"/>
      <c r="U45" s="48"/>
    </row>
    <row r="46" spans="1:24" ht="17.25" customHeight="1" thickBot="1" x14ac:dyDescent="0.25">
      <c r="A46" s="2"/>
      <c r="B46" s="22" t="s">
        <v>12</v>
      </c>
      <c r="C46" s="19">
        <v>20</v>
      </c>
      <c r="D46" s="19">
        <f>L61</f>
        <v>0</v>
      </c>
      <c r="E46" s="20">
        <f>Table724486072849610828[Projected Cost]-Table724486072849610828[Actual Cost]</f>
        <v>20</v>
      </c>
      <c r="F46" s="67"/>
      <c r="K46" s="49" t="s">
        <v>33</v>
      </c>
      <c r="L46" s="50">
        <f>SUM(L44:L45)</f>
        <v>0</v>
      </c>
      <c r="N46" s="47"/>
      <c r="O46" s="48"/>
      <c r="P46" s="44"/>
      <c r="Q46" s="47"/>
      <c r="R46" s="48"/>
      <c r="S46" s="58"/>
      <c r="T46" s="47"/>
      <c r="U46" s="48"/>
    </row>
    <row r="47" spans="1:24" ht="15.75" customHeight="1" x14ac:dyDescent="0.2">
      <c r="A47" s="2"/>
      <c r="B47" s="22" t="s">
        <v>14</v>
      </c>
      <c r="C47" s="19">
        <v>50</v>
      </c>
      <c r="D47" s="19">
        <f>O60</f>
        <v>0</v>
      </c>
      <c r="E47" s="20">
        <f>Table724486072849610828[Projected Cost]-Table724486072849610828[Actual Cost]</f>
        <v>50</v>
      </c>
      <c r="F47" s="67"/>
      <c r="N47" s="47"/>
      <c r="O47" s="48"/>
      <c r="P47" s="44"/>
      <c r="Q47" s="47"/>
      <c r="R47" s="48"/>
      <c r="S47" s="58"/>
      <c r="T47" s="47"/>
      <c r="U47" s="48"/>
    </row>
    <row r="48" spans="1:24" ht="15.75" customHeight="1" thickBot="1" x14ac:dyDescent="0.25">
      <c r="A48" s="2"/>
      <c r="B48" s="22" t="s">
        <v>13</v>
      </c>
      <c r="C48" s="19">
        <v>50</v>
      </c>
      <c r="D48" s="19">
        <f>R64</f>
        <v>0</v>
      </c>
      <c r="E48" s="20">
        <f>Table724486072849610828[Projected Cost]-Table724486072849610828[Actual Cost]</f>
        <v>50</v>
      </c>
      <c r="F48" s="67"/>
      <c r="N48" s="47"/>
      <c r="O48" s="48"/>
      <c r="P48" s="44"/>
      <c r="Q48" s="47"/>
      <c r="R48" s="48"/>
      <c r="S48" s="58"/>
      <c r="T48" s="47"/>
      <c r="U48" s="48"/>
    </row>
    <row r="49" spans="1:24" ht="15.75" customHeight="1" thickBot="1" x14ac:dyDescent="0.25">
      <c r="A49" s="2"/>
      <c r="B49" s="22" t="s">
        <v>49</v>
      </c>
      <c r="C49" s="19">
        <v>40</v>
      </c>
      <c r="D49" s="19">
        <f>U60</f>
        <v>0</v>
      </c>
      <c r="E49" s="20">
        <f>Table724486072849610828[Projected Cost]-Table724486072849610828[Actual Cost]</f>
        <v>40</v>
      </c>
      <c r="F49" s="67"/>
      <c r="N49" s="47"/>
      <c r="O49" s="48"/>
      <c r="P49" s="44"/>
      <c r="Q49" s="47"/>
      <c r="R49" s="48"/>
      <c r="S49" s="58"/>
      <c r="T49" s="49" t="s">
        <v>33</v>
      </c>
      <c r="U49" s="50">
        <f>SUM(U45:U48)</f>
        <v>0</v>
      </c>
    </row>
    <row r="50" spans="1:24" ht="15.75" customHeight="1" x14ac:dyDescent="0.2">
      <c r="A50" s="2"/>
      <c r="B50" s="22" t="s">
        <v>6</v>
      </c>
      <c r="C50" s="19">
        <v>20</v>
      </c>
      <c r="D50" s="19">
        <f>X64</f>
        <v>0</v>
      </c>
      <c r="E50" s="20">
        <f>Table724486072849610828[Projected Cost]-Table724486072849610828[Actual Cost]</f>
        <v>20</v>
      </c>
      <c r="F50" s="67"/>
      <c r="N50" s="47"/>
      <c r="O50" s="48"/>
      <c r="P50" s="44"/>
      <c r="Q50" s="47"/>
      <c r="R50" s="48"/>
      <c r="S50" s="58"/>
      <c r="T50" s="58"/>
      <c r="U50" s="64"/>
    </row>
    <row r="51" spans="1:24" ht="15.75" customHeight="1" x14ac:dyDescent="0.2">
      <c r="A51" s="2"/>
      <c r="B51" s="16" t="s">
        <v>33</v>
      </c>
      <c r="C51" s="19">
        <f>SUBTOTAL(109,Table724486072849610828[Projected Cost])</f>
        <v>180</v>
      </c>
      <c r="D51" s="19">
        <f>SUBTOTAL(109,Table724486072849610828[Actual Cost])</f>
        <v>0</v>
      </c>
      <c r="E51" s="21">
        <f>SUBTOTAL(109,Table724486072849610828[Difference])</f>
        <v>180</v>
      </c>
      <c r="F51" s="67"/>
      <c r="N51" s="47"/>
      <c r="O51" s="48"/>
      <c r="P51" s="44"/>
      <c r="Q51" s="47"/>
      <c r="R51" s="48"/>
      <c r="S51" s="58"/>
      <c r="T51" s="58"/>
      <c r="U51" s="64"/>
    </row>
    <row r="52" spans="1:24" ht="15.75" customHeight="1" thickBot="1" x14ac:dyDescent="0.25">
      <c r="A52" s="2"/>
      <c r="F52" s="67"/>
      <c r="N52" s="47"/>
      <c r="O52" s="48"/>
      <c r="P52" s="44"/>
      <c r="Q52" s="47"/>
      <c r="R52" s="48"/>
      <c r="S52" s="58"/>
      <c r="T52" s="58"/>
      <c r="U52" s="64"/>
    </row>
    <row r="53" spans="1:24" ht="15.75" customHeight="1" thickBot="1" x14ac:dyDescent="0.25">
      <c r="A53" s="2"/>
      <c r="B53" s="16" t="s">
        <v>23</v>
      </c>
      <c r="C53" s="17" t="s">
        <v>0</v>
      </c>
      <c r="D53" s="17" t="s">
        <v>1</v>
      </c>
      <c r="E53" s="18" t="s">
        <v>2</v>
      </c>
      <c r="F53" s="67"/>
      <c r="N53" s="49" t="s">
        <v>33</v>
      </c>
      <c r="O53" s="50">
        <f>SUM(O45:O52)</f>
        <v>0</v>
      </c>
      <c r="P53" s="56"/>
      <c r="Q53" s="49" t="s">
        <v>33</v>
      </c>
      <c r="R53" s="50">
        <f>SUM(R45:R52)</f>
        <v>0</v>
      </c>
      <c r="S53" s="59"/>
      <c r="T53" s="59"/>
      <c r="U53" s="65"/>
    </row>
    <row r="54" spans="1:24" ht="15.75" customHeight="1" thickBot="1" x14ac:dyDescent="0.25">
      <c r="A54" s="2"/>
      <c r="B54" s="22" t="s">
        <v>81</v>
      </c>
      <c r="C54" s="19">
        <v>50</v>
      </c>
      <c r="D54" s="19">
        <f>L72</f>
        <v>0</v>
      </c>
      <c r="E54" s="20">
        <f>Table225496173859710929[Projected Cost]-Table225496173859710929[Actual Cost]</f>
        <v>50</v>
      </c>
      <c r="F54" s="67"/>
    </row>
    <row r="55" spans="1:24" ht="15.75" customHeight="1" thickBot="1" x14ac:dyDescent="0.25">
      <c r="A55" s="2"/>
      <c r="B55" s="22" t="s">
        <v>16</v>
      </c>
      <c r="C55" s="19">
        <v>15</v>
      </c>
      <c r="D55" s="19">
        <f>O71</f>
        <v>0</v>
      </c>
      <c r="E55" s="20">
        <f>Table225496173859710929[Projected Cost]-Table225496173859710929[Actual Cost]</f>
        <v>15</v>
      </c>
      <c r="F55" s="13"/>
      <c r="K55" s="139" t="s">
        <v>75</v>
      </c>
      <c r="L55" s="140"/>
      <c r="M55" s="140"/>
      <c r="N55" s="140"/>
      <c r="O55" s="140"/>
      <c r="P55" s="140"/>
      <c r="Q55" s="140"/>
      <c r="R55" s="140"/>
      <c r="S55" s="140"/>
      <c r="T55" s="140"/>
      <c r="U55" s="140"/>
      <c r="V55" s="140"/>
      <c r="W55" s="140"/>
      <c r="X55" s="141"/>
    </row>
    <row r="56" spans="1:24" ht="15.75" customHeight="1" thickBot="1" x14ac:dyDescent="0.25">
      <c r="A56" s="2"/>
      <c r="B56" s="22" t="s">
        <v>17</v>
      </c>
      <c r="C56" s="19">
        <v>20</v>
      </c>
      <c r="D56" s="19">
        <f>R71</f>
        <v>0</v>
      </c>
      <c r="E56" s="20">
        <f>Table225496173859710929[Projected Cost]-Table225496173859710929[Actual Cost]</f>
        <v>20</v>
      </c>
      <c r="F56" s="13"/>
      <c r="K56" s="148" t="s">
        <v>12</v>
      </c>
      <c r="L56" s="149"/>
      <c r="M56" s="44"/>
      <c r="N56" s="148" t="s">
        <v>71</v>
      </c>
      <c r="O56" s="149"/>
      <c r="P56" s="44"/>
      <c r="Q56" s="142" t="s">
        <v>13</v>
      </c>
      <c r="R56" s="143"/>
      <c r="S56" s="44"/>
      <c r="T56" s="148" t="s">
        <v>49</v>
      </c>
      <c r="U56" s="149"/>
      <c r="V56" s="44"/>
      <c r="W56" s="142" t="s">
        <v>6</v>
      </c>
      <c r="X56" s="143"/>
    </row>
    <row r="57" spans="1:24" ht="15.75" customHeight="1" thickBot="1" x14ac:dyDescent="0.25">
      <c r="A57" s="2"/>
      <c r="B57" s="22" t="s">
        <v>21</v>
      </c>
      <c r="C57" s="19">
        <v>0</v>
      </c>
      <c r="D57" s="19">
        <f>U71</f>
        <v>0</v>
      </c>
      <c r="E57" s="20">
        <f>Table225496173859710929[Projected Cost]-Table225496173859710929[Actual Cost]</f>
        <v>0</v>
      </c>
      <c r="F57" s="13"/>
      <c r="K57" s="45" t="s">
        <v>38</v>
      </c>
      <c r="L57" s="46" t="s">
        <v>46</v>
      </c>
      <c r="M57" s="44"/>
      <c r="N57" s="45" t="s">
        <v>38</v>
      </c>
      <c r="O57" s="46" t="s">
        <v>46</v>
      </c>
      <c r="P57" s="44"/>
      <c r="Q57" s="45" t="s">
        <v>38</v>
      </c>
      <c r="R57" s="46" t="s">
        <v>46</v>
      </c>
      <c r="S57" s="44"/>
      <c r="T57" s="45" t="s">
        <v>38</v>
      </c>
      <c r="U57" s="46" t="s">
        <v>46</v>
      </c>
      <c r="V57" s="44"/>
      <c r="W57" s="45" t="s">
        <v>38</v>
      </c>
      <c r="X57" s="46" t="s">
        <v>46</v>
      </c>
    </row>
    <row r="58" spans="1:24" ht="15.75" customHeight="1" x14ac:dyDescent="0.2">
      <c r="A58" s="2"/>
      <c r="B58" s="22" t="s">
        <v>6</v>
      </c>
      <c r="C58" s="19">
        <v>100</v>
      </c>
      <c r="D58" s="19">
        <f>X75</f>
        <v>0</v>
      </c>
      <c r="E58" s="20">
        <f>Table225496173859710929[Projected Cost]-Table225496173859710929[Actual Cost]</f>
        <v>100</v>
      </c>
      <c r="F58" s="13"/>
      <c r="K58" s="47" t="s">
        <v>82</v>
      </c>
      <c r="L58" s="48"/>
      <c r="M58" s="44"/>
      <c r="N58" s="47" t="s">
        <v>73</v>
      </c>
      <c r="O58" s="48"/>
      <c r="P58" s="44"/>
      <c r="Q58" s="47" t="s">
        <v>74</v>
      </c>
      <c r="R58" s="48"/>
      <c r="S58" s="44"/>
      <c r="T58" s="47" t="s">
        <v>49</v>
      </c>
      <c r="U58" s="48"/>
      <c r="V58" s="44"/>
      <c r="W58" s="47"/>
      <c r="X58" s="48"/>
    </row>
    <row r="59" spans="1:24" ht="15.75" customHeight="1" thickBot="1" x14ac:dyDescent="0.25">
      <c r="A59" s="2"/>
      <c r="B59" s="16" t="s">
        <v>33</v>
      </c>
      <c r="C59" s="77">
        <f>SUBTOTAL(109,Table225496173859710929[Projected Cost])</f>
        <v>185</v>
      </c>
      <c r="D59" s="19">
        <f>SUBTOTAL(109,Table225496173859710929[Actual Cost])</f>
        <v>0</v>
      </c>
      <c r="E59" s="21">
        <f>SUBTOTAL(109,Table225496173859710929[Difference])</f>
        <v>185</v>
      </c>
      <c r="F59" s="13"/>
      <c r="K59" s="47"/>
      <c r="L59" s="48"/>
      <c r="M59" s="44"/>
      <c r="N59" s="47"/>
      <c r="O59" s="48"/>
      <c r="P59" s="44"/>
      <c r="Q59" s="47"/>
      <c r="R59" s="48"/>
      <c r="S59" s="44"/>
      <c r="T59" s="47"/>
      <c r="U59" s="48"/>
      <c r="V59" s="44"/>
      <c r="W59" s="47"/>
      <c r="X59" s="48"/>
    </row>
    <row r="60" spans="1:24" ht="15.75" customHeight="1" thickBot="1" x14ac:dyDescent="0.25">
      <c r="A60" s="2"/>
      <c r="F60" s="13"/>
      <c r="K60" s="47"/>
      <c r="L60" s="48"/>
      <c r="M60" s="44"/>
      <c r="N60" s="49" t="s">
        <v>33</v>
      </c>
      <c r="O60" s="50">
        <f>SUM(O58:O59)</f>
        <v>0</v>
      </c>
      <c r="P60" s="44"/>
      <c r="Q60" s="47"/>
      <c r="R60" s="48"/>
      <c r="S60" s="44"/>
      <c r="T60" s="49" t="s">
        <v>33</v>
      </c>
      <c r="U60" s="50">
        <f>SUM(U58:U59)</f>
        <v>0</v>
      </c>
      <c r="V60" s="44"/>
      <c r="W60" s="47"/>
      <c r="X60" s="48"/>
    </row>
    <row r="61" spans="1:24" ht="15.75" customHeight="1" thickBot="1" x14ac:dyDescent="0.25">
      <c r="A61" s="2"/>
      <c r="F61" s="13"/>
      <c r="K61" s="49" t="s">
        <v>33</v>
      </c>
      <c r="L61" s="50">
        <f>SUM(L58:L60)</f>
        <v>0</v>
      </c>
      <c r="M61" s="44"/>
      <c r="N61" s="58"/>
      <c r="O61" s="58"/>
      <c r="P61" s="44"/>
      <c r="Q61" s="47"/>
      <c r="R61" s="48"/>
      <c r="S61" s="44"/>
      <c r="T61" s="58"/>
      <c r="U61" s="58"/>
      <c r="V61" s="44"/>
      <c r="W61" s="47"/>
      <c r="X61" s="48"/>
    </row>
    <row r="62" spans="1:24" ht="15.75" customHeight="1" x14ac:dyDescent="0.2">
      <c r="B62" s="102" t="s">
        <v>30</v>
      </c>
      <c r="C62" s="102"/>
      <c r="D62" s="102"/>
      <c r="E62" s="117">
        <f>SUM(C17,C25,C33,C37,C43,C51,C59)</f>
        <v>4490</v>
      </c>
      <c r="K62" s="62"/>
      <c r="L62" s="58"/>
      <c r="M62" s="44"/>
      <c r="N62" s="58"/>
      <c r="O62" s="58"/>
      <c r="P62" s="44"/>
      <c r="Q62" s="47"/>
      <c r="R62" s="48"/>
      <c r="S62" s="44"/>
      <c r="T62" s="58"/>
      <c r="U62" s="58"/>
      <c r="V62" s="44"/>
      <c r="W62" s="47"/>
      <c r="X62" s="48"/>
    </row>
    <row r="63" spans="1:24" ht="13.5" thickBot="1" x14ac:dyDescent="0.25">
      <c r="B63" s="102"/>
      <c r="C63" s="102"/>
      <c r="D63" s="102"/>
      <c r="E63" s="117"/>
      <c r="J63" s="58"/>
      <c r="K63" s="62"/>
      <c r="L63" s="58"/>
      <c r="M63" s="44"/>
      <c r="N63" s="58"/>
      <c r="O63" s="58"/>
      <c r="P63" s="44"/>
      <c r="Q63" s="47"/>
      <c r="R63" s="48"/>
      <c r="S63" s="44"/>
      <c r="T63" s="58"/>
      <c r="U63" s="58"/>
      <c r="V63" s="44"/>
      <c r="W63" s="47"/>
      <c r="X63" s="48"/>
    </row>
    <row r="64" spans="1:24" ht="13.5" thickBot="1" x14ac:dyDescent="0.25">
      <c r="B64" s="102" t="s">
        <v>31</v>
      </c>
      <c r="C64" s="102"/>
      <c r="D64" s="102"/>
      <c r="E64" s="117">
        <f>SUM(D17,D25,D33,D37,D43,D51,D59)</f>
        <v>0</v>
      </c>
      <c r="J64" s="58"/>
      <c r="K64" s="63"/>
      <c r="L64" s="59"/>
      <c r="M64" s="56"/>
      <c r="N64" s="59"/>
      <c r="O64" s="59"/>
      <c r="P64" s="56"/>
      <c r="Q64" s="49" t="s">
        <v>33</v>
      </c>
      <c r="R64" s="50">
        <f>SUM(R58:R63)</f>
        <v>0</v>
      </c>
      <c r="S64" s="56"/>
      <c r="T64" s="59"/>
      <c r="U64" s="59"/>
      <c r="V64" s="56"/>
      <c r="W64" s="49" t="s">
        <v>33</v>
      </c>
      <c r="X64" s="50">
        <f>SUM(X58:X63)</f>
        <v>0</v>
      </c>
    </row>
    <row r="65" spans="2:24" ht="13.5" thickBot="1" x14ac:dyDescent="0.25">
      <c r="B65" s="102"/>
      <c r="C65" s="102"/>
      <c r="D65" s="102"/>
      <c r="E65" s="117"/>
      <c r="J65" s="58"/>
      <c r="K65" s="58"/>
      <c r="L65" s="58"/>
      <c r="M65" s="58"/>
      <c r="N65" s="58"/>
      <c r="O65" s="58"/>
      <c r="P65" s="58"/>
      <c r="S65" s="58"/>
      <c r="T65" s="58"/>
      <c r="U65" s="58"/>
      <c r="V65" s="58"/>
    </row>
    <row r="66" spans="2:24" ht="13.5" thickBot="1" x14ac:dyDescent="0.25">
      <c r="B66" s="102" t="s">
        <v>32</v>
      </c>
      <c r="C66" s="102"/>
      <c r="D66" s="102"/>
      <c r="E66" s="117">
        <f>SUM(E17,E25,E33,E37,E43,E51,E59)</f>
        <v>4490</v>
      </c>
      <c r="J66" s="58"/>
      <c r="K66" s="139" t="s">
        <v>76</v>
      </c>
      <c r="L66" s="140"/>
      <c r="M66" s="140"/>
      <c r="N66" s="140"/>
      <c r="O66" s="140"/>
      <c r="P66" s="140"/>
      <c r="Q66" s="140"/>
      <c r="R66" s="140"/>
      <c r="S66" s="140"/>
      <c r="T66" s="140"/>
      <c r="U66" s="140"/>
      <c r="V66" s="140"/>
      <c r="W66" s="140"/>
      <c r="X66" s="141"/>
    </row>
    <row r="67" spans="2:24" ht="13.5" thickBot="1" x14ac:dyDescent="0.25">
      <c r="B67" s="102"/>
      <c r="C67" s="102"/>
      <c r="D67" s="102"/>
      <c r="E67" s="117"/>
      <c r="J67" s="58"/>
      <c r="K67" s="148" t="s">
        <v>41</v>
      </c>
      <c r="L67" s="149"/>
      <c r="M67" s="44"/>
      <c r="N67" s="148" t="s">
        <v>16</v>
      </c>
      <c r="O67" s="149"/>
      <c r="P67" s="44"/>
      <c r="Q67" s="142" t="s">
        <v>17</v>
      </c>
      <c r="R67" s="143"/>
      <c r="S67" s="44"/>
      <c r="T67" s="148" t="s">
        <v>77</v>
      </c>
      <c r="U67" s="149"/>
      <c r="V67" s="44"/>
      <c r="W67" s="142" t="s">
        <v>6</v>
      </c>
      <c r="X67" s="143"/>
    </row>
    <row r="68" spans="2:24" ht="13.5" thickBot="1" x14ac:dyDescent="0.25">
      <c r="J68" s="58"/>
      <c r="K68" s="45" t="s">
        <v>38</v>
      </c>
      <c r="L68" s="46" t="s">
        <v>46</v>
      </c>
      <c r="M68" s="44"/>
      <c r="N68" s="45" t="s">
        <v>38</v>
      </c>
      <c r="O68" s="46" t="s">
        <v>46</v>
      </c>
      <c r="P68" s="44"/>
      <c r="Q68" s="45" t="s">
        <v>38</v>
      </c>
      <c r="R68" s="46" t="s">
        <v>46</v>
      </c>
      <c r="S68" s="44"/>
      <c r="T68" s="45" t="s">
        <v>38</v>
      </c>
      <c r="U68" s="46" t="s">
        <v>46</v>
      </c>
      <c r="V68" s="44"/>
      <c r="W68" s="45" t="s">
        <v>38</v>
      </c>
      <c r="X68" s="46" t="s">
        <v>46</v>
      </c>
    </row>
    <row r="69" spans="2:24" x14ac:dyDescent="0.2">
      <c r="J69" s="58"/>
      <c r="K69" s="47" t="s">
        <v>72</v>
      </c>
      <c r="L69" s="48"/>
      <c r="M69" s="44"/>
      <c r="N69" s="47" t="s">
        <v>43</v>
      </c>
      <c r="O69" s="48"/>
      <c r="P69" s="44"/>
      <c r="Q69" s="47" t="s">
        <v>78</v>
      </c>
      <c r="R69" s="48"/>
      <c r="S69" s="44"/>
      <c r="T69" s="47" t="s">
        <v>79</v>
      </c>
      <c r="U69" s="48"/>
      <c r="V69" s="44"/>
      <c r="W69" s="47"/>
      <c r="X69" s="48"/>
    </row>
    <row r="70" spans="2:24" ht="13.5" thickBot="1" x14ac:dyDescent="0.25">
      <c r="K70" s="47"/>
      <c r="L70" s="48"/>
      <c r="M70" s="44"/>
      <c r="N70" s="47"/>
      <c r="O70" s="48"/>
      <c r="P70" s="44"/>
      <c r="Q70" s="47"/>
      <c r="R70" s="48"/>
      <c r="S70" s="44"/>
      <c r="T70" s="47"/>
      <c r="U70" s="48"/>
      <c r="V70" s="44"/>
      <c r="W70" s="47"/>
      <c r="X70" s="48"/>
    </row>
    <row r="71" spans="2:24" ht="13.5" thickBot="1" x14ac:dyDescent="0.25">
      <c r="K71" s="47"/>
      <c r="L71" s="48"/>
      <c r="M71" s="44"/>
      <c r="N71" s="49" t="s">
        <v>33</v>
      </c>
      <c r="O71" s="50">
        <f>SUM(O69:O70)</f>
        <v>0</v>
      </c>
      <c r="P71" s="44"/>
      <c r="Q71" s="49" t="s">
        <v>33</v>
      </c>
      <c r="R71" s="50">
        <f>SUM(R69:R70)</f>
        <v>0</v>
      </c>
      <c r="S71" s="44"/>
      <c r="T71" s="49" t="s">
        <v>33</v>
      </c>
      <c r="U71" s="50">
        <f>SUM(U69:U70)</f>
        <v>0</v>
      </c>
      <c r="V71" s="44"/>
      <c r="W71" s="47"/>
      <c r="X71" s="48"/>
    </row>
    <row r="72" spans="2:24" ht="13.5" thickBot="1" x14ac:dyDescent="0.25">
      <c r="K72" s="49" t="s">
        <v>33</v>
      </c>
      <c r="L72" s="50">
        <f>SUM(L69:L71)</f>
        <v>0</v>
      </c>
      <c r="M72" s="44"/>
      <c r="N72" s="58"/>
      <c r="O72" s="58"/>
      <c r="P72" s="44"/>
      <c r="Q72" s="58"/>
      <c r="R72" s="58"/>
      <c r="S72" s="44"/>
      <c r="T72" s="58"/>
      <c r="U72" s="58"/>
      <c r="V72" s="44"/>
      <c r="W72" s="47"/>
      <c r="X72" s="48"/>
    </row>
    <row r="73" spans="2:24" x14ac:dyDescent="0.2">
      <c r="K73" s="62"/>
      <c r="L73" s="58"/>
      <c r="M73" s="44"/>
      <c r="N73" s="58"/>
      <c r="O73" s="58"/>
      <c r="P73" s="44"/>
      <c r="Q73" s="58"/>
      <c r="R73" s="58"/>
      <c r="S73" s="44"/>
      <c r="T73" s="58"/>
      <c r="U73" s="58"/>
      <c r="V73" s="44"/>
      <c r="W73" s="47"/>
      <c r="X73" s="48"/>
    </row>
    <row r="74" spans="2:24" ht="13.5" thickBot="1" x14ac:dyDescent="0.25">
      <c r="K74" s="62"/>
      <c r="L74" s="58"/>
      <c r="M74" s="44"/>
      <c r="N74" s="58"/>
      <c r="O74" s="58"/>
      <c r="P74" s="44"/>
      <c r="Q74" s="58"/>
      <c r="R74" s="58"/>
      <c r="S74" s="44"/>
      <c r="T74" s="58"/>
      <c r="U74" s="58"/>
      <c r="V74" s="44"/>
      <c r="W74" s="47"/>
      <c r="X74" s="48"/>
    </row>
    <row r="75" spans="2:24" ht="13.5" thickBot="1" x14ac:dyDescent="0.25">
      <c r="K75" s="63"/>
      <c r="L75" s="59"/>
      <c r="M75" s="56"/>
      <c r="N75" s="59"/>
      <c r="O75" s="59"/>
      <c r="P75" s="56"/>
      <c r="Q75" s="59"/>
      <c r="R75" s="59"/>
      <c r="S75" s="56"/>
      <c r="T75" s="59"/>
      <c r="U75" s="59"/>
      <c r="V75" s="56"/>
      <c r="W75" s="49" t="s">
        <v>33</v>
      </c>
      <c r="X75" s="50">
        <f>SUM(X69:X74)</f>
        <v>0</v>
      </c>
    </row>
  </sheetData>
  <mergeCells count="64">
    <mergeCell ref="K66:X66"/>
    <mergeCell ref="K67:L67"/>
    <mergeCell ref="N67:O67"/>
    <mergeCell ref="Q67:R67"/>
    <mergeCell ref="T67:U67"/>
    <mergeCell ref="W67:X67"/>
    <mergeCell ref="B62:D63"/>
    <mergeCell ref="E62:E63"/>
    <mergeCell ref="B64:D65"/>
    <mergeCell ref="E64:E65"/>
    <mergeCell ref="B66:D67"/>
    <mergeCell ref="E66:E67"/>
    <mergeCell ref="B44:E44"/>
    <mergeCell ref="K55:X55"/>
    <mergeCell ref="K56:L56"/>
    <mergeCell ref="N56:O56"/>
    <mergeCell ref="Q56:R56"/>
    <mergeCell ref="T56:U56"/>
    <mergeCell ref="W56:X56"/>
    <mergeCell ref="B34:E34"/>
    <mergeCell ref="B38:E38"/>
    <mergeCell ref="K42:L42"/>
    <mergeCell ref="N42:U42"/>
    <mergeCell ref="N43:O43"/>
    <mergeCell ref="Q43:R43"/>
    <mergeCell ref="T43:U43"/>
    <mergeCell ref="B26:E26"/>
    <mergeCell ref="K31:X31"/>
    <mergeCell ref="K32:L32"/>
    <mergeCell ref="N32:O32"/>
    <mergeCell ref="Q32:R32"/>
    <mergeCell ref="T32:U32"/>
    <mergeCell ref="W32:X32"/>
    <mergeCell ref="K24:X24"/>
    <mergeCell ref="K25:L25"/>
    <mergeCell ref="N25:O25"/>
    <mergeCell ref="Q25:R25"/>
    <mergeCell ref="T25:U25"/>
    <mergeCell ref="W25:X25"/>
    <mergeCell ref="H11:I11"/>
    <mergeCell ref="K11:X11"/>
    <mergeCell ref="K12:L12"/>
    <mergeCell ref="N12:O12"/>
    <mergeCell ref="Q12:R12"/>
    <mergeCell ref="T12:U12"/>
    <mergeCell ref="W12:X12"/>
    <mergeCell ref="B7:B9"/>
    <mergeCell ref="C7:D7"/>
    <mergeCell ref="C8:D8"/>
    <mergeCell ref="G8:K9"/>
    <mergeCell ref="L8:L9"/>
    <mergeCell ref="C9:D9"/>
    <mergeCell ref="Q5:R5"/>
    <mergeCell ref="T5:U5"/>
    <mergeCell ref="W5:X5"/>
    <mergeCell ref="C6:D6"/>
    <mergeCell ref="G6:K7"/>
    <mergeCell ref="L6:L7"/>
    <mergeCell ref="B3:D3"/>
    <mergeCell ref="B4:B6"/>
    <mergeCell ref="C4:D4"/>
    <mergeCell ref="G4:K5"/>
    <mergeCell ref="L4:L5"/>
    <mergeCell ref="C5:D5"/>
  </mergeCells>
  <conditionalFormatting sqref="E54:E59 E28:E33 E20:E25 E36:E37 E40:E43 E46:E51">
    <cfRule type="iconSet" priority="2">
      <iconSet iconSet="3Signs">
        <cfvo type="percent" val="0"/>
        <cfvo type="num" val="-20"/>
        <cfvo type="num" val="0"/>
      </iconSet>
    </cfRule>
  </conditionalFormatting>
  <conditionalFormatting sqref="E12:E18">
    <cfRule type="iconSet" priority="1">
      <iconSet iconSet="3Signs">
        <cfvo type="percent" val="0"/>
        <cfvo type="num" val="-20"/>
        <cfvo type="num" val="0"/>
      </iconSet>
    </cfRule>
  </conditionalFormatting>
  <pageMargins left="0.5" right="0.5" top="0.5" bottom="0.5" header="0.5" footer="0.5"/>
  <pageSetup orientation="portrait" r:id="rId1"/>
  <headerFooter alignWithMargins="0"/>
  <ignoredErrors>
    <ignoredError sqref="D28:D32 D40:D42 D46:D50" calculatedColumn="1"/>
  </ignoredErrors>
  <drawing r:id="rId2"/>
  <tableParts count="7">
    <tablePart r:id="rId3"/>
    <tablePart r:id="rId4"/>
    <tablePart r:id="rId5"/>
    <tablePart r:id="rId6"/>
    <tablePart r:id="rId7"/>
    <tablePart r:id="rId8"/>
    <tablePart r:id="rId9"/>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F75"/>
  <sheetViews>
    <sheetView showGridLines="0" workbookViewId="0">
      <pane ySplit="2" topLeftCell="A3" activePane="bottomLeft" state="frozen"/>
      <selection pane="bottomLeft" activeCell="K12" sqref="K12:L12"/>
    </sheetView>
  </sheetViews>
  <sheetFormatPr defaultColWidth="8.7109375" defaultRowHeight="12.75" x14ac:dyDescent="0.2"/>
  <cols>
    <col min="1" max="1" width="1.5703125" customWidth="1"/>
    <col min="2" max="2" width="32.28515625" customWidth="1"/>
    <col min="3" max="3" width="16.42578125" customWidth="1"/>
    <col min="4" max="4" width="13.42578125" customWidth="1"/>
    <col min="5" max="5" width="12.42578125" customWidth="1"/>
    <col min="6" max="6" width="2" customWidth="1"/>
    <col min="7" max="7" width="5.7109375" customWidth="1"/>
    <col min="8" max="8" width="11.42578125" bestFit="1" customWidth="1"/>
    <col min="9" max="9" width="7.42578125" bestFit="1" customWidth="1"/>
    <col min="10" max="10" width="6.5703125" customWidth="1"/>
    <col min="11" max="11" width="13.42578125" customWidth="1"/>
    <col min="12" max="12" width="12.42578125" customWidth="1"/>
    <col min="13" max="13" width="3.28515625" customWidth="1"/>
    <col min="14" max="14" width="11.5703125" bestFit="1" customWidth="1"/>
    <col min="15" max="15" width="7.42578125" bestFit="1" customWidth="1"/>
    <col min="16" max="16" width="2.7109375" customWidth="1"/>
    <col min="17" max="17" width="9.5703125" bestFit="1" customWidth="1"/>
    <col min="18" max="18" width="7.42578125" bestFit="1" customWidth="1"/>
    <col min="19" max="19" width="4.28515625" customWidth="1"/>
    <col min="20" max="20" width="11.42578125" bestFit="1" customWidth="1"/>
    <col min="21" max="21" width="7.42578125" bestFit="1" customWidth="1"/>
    <col min="22" max="22" width="3.7109375" customWidth="1"/>
    <col min="23" max="23" width="14.5703125" bestFit="1" customWidth="1"/>
    <col min="24" max="24" width="7.42578125" bestFit="1" customWidth="1"/>
  </cols>
  <sheetData>
    <row r="1" spans="1:32" ht="8.25" customHeight="1" x14ac:dyDescent="0.6">
      <c r="A1" s="3"/>
      <c r="B1" s="1"/>
      <c r="C1" s="1"/>
      <c r="D1" s="1"/>
      <c r="E1" s="1"/>
      <c r="F1" s="1"/>
      <c r="G1" s="1"/>
      <c r="H1" s="1"/>
      <c r="I1" s="1"/>
      <c r="J1" s="1"/>
      <c r="K1" s="1"/>
      <c r="L1" s="2"/>
    </row>
    <row r="2" spans="1:32" ht="52.15" customHeight="1" x14ac:dyDescent="0.2">
      <c r="A2" s="3"/>
      <c r="B2" s="35"/>
      <c r="C2" s="69" t="str">
        <f>("-  February Monthly Budget")</f>
        <v>-  February Monthly Budget</v>
      </c>
      <c r="E2" s="35"/>
      <c r="F2" s="35"/>
      <c r="G2" s="35"/>
      <c r="H2" s="35"/>
      <c r="I2" s="35"/>
      <c r="J2" s="35"/>
      <c r="K2" s="35"/>
      <c r="L2" s="35"/>
    </row>
    <row r="3" spans="1:32" ht="8.25" customHeight="1" x14ac:dyDescent="0.2">
      <c r="A3" s="2"/>
      <c r="B3" s="98"/>
      <c r="C3" s="98"/>
      <c r="D3" s="98"/>
      <c r="E3" s="4"/>
      <c r="F3" s="5"/>
      <c r="G3" s="4"/>
      <c r="H3" s="6"/>
      <c r="I3" s="6"/>
      <c r="J3" s="6"/>
      <c r="K3" s="7"/>
      <c r="L3" s="8"/>
    </row>
    <row r="4" spans="1:32" ht="16.149999999999999" customHeight="1" x14ac:dyDescent="0.2">
      <c r="A4" s="2"/>
      <c r="B4" s="114" t="s">
        <v>29</v>
      </c>
      <c r="C4" s="105" t="s">
        <v>3</v>
      </c>
      <c r="D4" s="106"/>
      <c r="E4" s="15">
        <f>'Starting Page'!I31</f>
        <v>300</v>
      </c>
      <c r="F4" s="5"/>
      <c r="G4" s="102" t="s">
        <v>34</v>
      </c>
      <c r="H4" s="102"/>
      <c r="I4" s="102"/>
      <c r="J4" s="102"/>
      <c r="K4" s="102"/>
      <c r="L4" s="117">
        <f>E6-E62</f>
        <v>-790</v>
      </c>
      <c r="Y4" s="23"/>
      <c r="Z4" s="23"/>
      <c r="AA4" s="23"/>
      <c r="AB4" s="23"/>
      <c r="AC4" s="23"/>
      <c r="AD4" s="23"/>
      <c r="AE4" s="23"/>
      <c r="AF4" s="23"/>
    </row>
    <row r="5" spans="1:32" ht="16.149999999999999" customHeight="1" x14ac:dyDescent="0.2">
      <c r="A5" s="2"/>
      <c r="B5" s="115"/>
      <c r="C5" s="105" t="s">
        <v>18</v>
      </c>
      <c r="D5" s="106"/>
      <c r="E5" s="15"/>
      <c r="F5" s="5"/>
      <c r="G5" s="102"/>
      <c r="H5" s="102"/>
      <c r="I5" s="102"/>
      <c r="J5" s="102"/>
      <c r="K5" s="102"/>
      <c r="L5" s="117"/>
      <c r="Q5" s="99"/>
      <c r="R5" s="99"/>
      <c r="S5" s="44"/>
      <c r="T5" s="99"/>
      <c r="U5" s="99"/>
      <c r="V5" s="44"/>
      <c r="W5" s="99"/>
      <c r="X5" s="99"/>
      <c r="Y5" s="44"/>
      <c r="Z5" s="23"/>
      <c r="AA5" s="23"/>
      <c r="AB5" s="23"/>
      <c r="AC5" s="23"/>
      <c r="AD5" s="23"/>
      <c r="AE5" s="23"/>
      <c r="AF5" s="23"/>
    </row>
    <row r="6" spans="1:32" ht="16.149999999999999" customHeight="1" x14ac:dyDescent="0.2">
      <c r="A6" s="2"/>
      <c r="B6" s="116"/>
      <c r="C6" s="100" t="s">
        <v>19</v>
      </c>
      <c r="D6" s="101"/>
      <c r="E6" s="66">
        <f>SUM(E4:E5)</f>
        <v>300</v>
      </c>
      <c r="F6" s="5"/>
      <c r="G6" s="102" t="s">
        <v>35</v>
      </c>
      <c r="H6" s="102"/>
      <c r="I6" s="102"/>
      <c r="J6" s="102"/>
      <c r="K6" s="102"/>
      <c r="L6" s="117">
        <f>E9-E64</f>
        <v>0</v>
      </c>
      <c r="Q6" s="44"/>
      <c r="R6" s="44"/>
      <c r="S6" s="44"/>
      <c r="T6" s="44"/>
      <c r="U6" s="44"/>
      <c r="V6" s="44"/>
      <c r="W6" s="44"/>
      <c r="X6" s="44"/>
      <c r="Y6" s="44"/>
      <c r="Z6" s="23"/>
      <c r="AA6" s="23"/>
      <c r="AB6" s="23"/>
      <c r="AC6" s="23"/>
      <c r="AD6" s="23"/>
      <c r="AE6" s="23"/>
      <c r="AF6" s="23"/>
    </row>
    <row r="7" spans="1:32" ht="16.149999999999999" customHeight="1" x14ac:dyDescent="0.2">
      <c r="A7" s="2"/>
      <c r="B7" s="114" t="s">
        <v>28</v>
      </c>
      <c r="C7" s="105" t="s">
        <v>3</v>
      </c>
      <c r="D7" s="106"/>
      <c r="E7" s="15">
        <f>I23</f>
        <v>0</v>
      </c>
      <c r="F7" s="5"/>
      <c r="G7" s="102"/>
      <c r="H7" s="102"/>
      <c r="I7" s="102"/>
      <c r="J7" s="102"/>
      <c r="K7" s="102"/>
      <c r="L7" s="117"/>
      <c r="P7" s="34"/>
      <c r="Q7" s="44"/>
      <c r="R7" s="44"/>
      <c r="S7" s="44"/>
      <c r="T7" s="44"/>
      <c r="U7" s="44"/>
      <c r="V7" s="44"/>
      <c r="W7" s="44"/>
      <c r="X7" s="44"/>
      <c r="Y7" s="44"/>
    </row>
    <row r="8" spans="1:32" ht="16.149999999999999" customHeight="1" x14ac:dyDescent="0.2">
      <c r="A8" s="2"/>
      <c r="B8" s="115"/>
      <c r="C8" s="105" t="s">
        <v>18</v>
      </c>
      <c r="D8" s="106"/>
      <c r="E8" s="15"/>
      <c r="F8" s="5"/>
      <c r="G8" s="102" t="s">
        <v>36</v>
      </c>
      <c r="H8" s="102"/>
      <c r="I8" s="102"/>
      <c r="J8" s="102"/>
      <c r="K8" s="102"/>
      <c r="L8" s="117">
        <f>L6-L4</f>
        <v>790</v>
      </c>
      <c r="Q8" s="44"/>
      <c r="R8" s="44"/>
      <c r="S8" s="44"/>
      <c r="T8" s="44"/>
      <c r="U8" s="44"/>
      <c r="V8" s="44"/>
      <c r="W8" s="44"/>
      <c r="X8" s="44"/>
      <c r="Y8" s="44"/>
    </row>
    <row r="9" spans="1:32" ht="16.149999999999999" customHeight="1" x14ac:dyDescent="0.2">
      <c r="A9" s="2"/>
      <c r="B9" s="116"/>
      <c r="C9" s="100" t="s">
        <v>19</v>
      </c>
      <c r="D9" s="101"/>
      <c r="E9" s="66">
        <f>SUM(E7:E8)</f>
        <v>0</v>
      </c>
      <c r="F9" s="5"/>
      <c r="G9" s="102"/>
      <c r="H9" s="102"/>
      <c r="I9" s="102"/>
      <c r="J9" s="102"/>
      <c r="K9" s="102"/>
      <c r="L9" s="117"/>
      <c r="Q9" s="60"/>
      <c r="R9" s="61"/>
      <c r="S9" s="44"/>
      <c r="T9" s="60"/>
      <c r="U9" s="61"/>
      <c r="V9" s="44"/>
      <c r="W9" s="60"/>
      <c r="X9" s="61"/>
      <c r="Y9" s="44"/>
    </row>
    <row r="10" spans="1:32" ht="16.149999999999999" customHeight="1" thickBot="1" x14ac:dyDescent="0.25">
      <c r="A10" s="2"/>
      <c r="B10" s="68"/>
      <c r="C10" s="68"/>
      <c r="D10" s="9"/>
      <c r="E10" s="10"/>
      <c r="F10" s="5"/>
      <c r="G10" s="11"/>
      <c r="H10" s="11"/>
      <c r="I10" s="11"/>
      <c r="J10" s="11"/>
      <c r="K10" s="11"/>
      <c r="L10" s="12"/>
      <c r="R10" s="23"/>
    </row>
    <row r="11" spans="1:32" ht="16.149999999999999" customHeight="1" thickBot="1" x14ac:dyDescent="0.25">
      <c r="A11" s="2"/>
      <c r="B11" s="16" t="s">
        <v>80</v>
      </c>
      <c r="C11" s="17" t="s">
        <v>0</v>
      </c>
      <c r="D11" s="17" t="s">
        <v>1</v>
      </c>
      <c r="E11" s="18" t="s">
        <v>2</v>
      </c>
      <c r="F11" s="5"/>
      <c r="G11" s="11"/>
      <c r="H11" s="92" t="s">
        <v>42</v>
      </c>
      <c r="I11" s="94"/>
      <c r="J11" s="11"/>
      <c r="K11" s="139" t="s">
        <v>104</v>
      </c>
      <c r="L11" s="140"/>
      <c r="M11" s="140"/>
      <c r="N11" s="140"/>
      <c r="O11" s="140"/>
      <c r="P11" s="140"/>
      <c r="Q11" s="140"/>
      <c r="R11" s="140"/>
      <c r="S11" s="140"/>
      <c r="T11" s="140"/>
      <c r="U11" s="140"/>
      <c r="V11" s="140"/>
      <c r="W11" s="140"/>
      <c r="X11" s="141"/>
    </row>
    <row r="12" spans="1:32" ht="16.149999999999999" customHeight="1" thickBot="1" x14ac:dyDescent="0.25">
      <c r="A12" s="2"/>
      <c r="B12" s="22" t="s">
        <v>50</v>
      </c>
      <c r="C12" s="19">
        <v>0</v>
      </c>
      <c r="D12" s="19">
        <f>L16</f>
        <v>0</v>
      </c>
      <c r="E12" s="20">
        <f>Table11438506274869829162337[Projected Cost]-Table11438506274869829162337[Actual Cost]</f>
        <v>0</v>
      </c>
      <c r="F12" s="5"/>
      <c r="H12" s="24" t="s">
        <v>38</v>
      </c>
      <c r="I12" s="25" t="s">
        <v>46</v>
      </c>
      <c r="J12" s="41"/>
      <c r="K12" s="148" t="s">
        <v>50</v>
      </c>
      <c r="L12" s="149"/>
      <c r="M12" s="44"/>
      <c r="N12" s="148" t="s">
        <v>51</v>
      </c>
      <c r="O12" s="149"/>
      <c r="P12" s="44"/>
      <c r="Q12" s="150" t="s">
        <v>54</v>
      </c>
      <c r="R12" s="151"/>
      <c r="S12" s="44"/>
      <c r="T12" s="148" t="s">
        <v>5</v>
      </c>
      <c r="U12" s="149"/>
      <c r="V12" s="44"/>
      <c r="W12" s="148" t="s">
        <v>6</v>
      </c>
      <c r="X12" s="149"/>
    </row>
    <row r="13" spans="1:32" ht="16.149999999999999" customHeight="1" thickBot="1" x14ac:dyDescent="0.25">
      <c r="A13" s="2"/>
      <c r="B13" s="22" t="s">
        <v>51</v>
      </c>
      <c r="C13" s="19">
        <v>0</v>
      </c>
      <c r="D13" s="19">
        <f>O16</f>
        <v>0</v>
      </c>
      <c r="E13" s="20">
        <f>Table11438506274869829162337[Projected Cost]-Table11438506274869829162337[Actual Cost]</f>
        <v>0</v>
      </c>
      <c r="F13" s="5"/>
      <c r="H13" s="26" t="s">
        <v>44</v>
      </c>
      <c r="I13" s="27"/>
      <c r="J13" s="42"/>
      <c r="K13" s="45" t="s">
        <v>38</v>
      </c>
      <c r="L13" s="46" t="s">
        <v>46</v>
      </c>
      <c r="M13" s="44"/>
      <c r="N13" s="45" t="s">
        <v>38</v>
      </c>
      <c r="O13" s="46" t="s">
        <v>46</v>
      </c>
      <c r="P13" s="44"/>
      <c r="Q13" s="45" t="s">
        <v>38</v>
      </c>
      <c r="R13" s="46" t="s">
        <v>46</v>
      </c>
      <c r="S13" s="44"/>
      <c r="T13" s="45" t="s">
        <v>38</v>
      </c>
      <c r="U13" s="46" t="s">
        <v>46</v>
      </c>
      <c r="V13" s="44"/>
      <c r="W13" s="45" t="s">
        <v>38</v>
      </c>
      <c r="X13" s="46" t="s">
        <v>46</v>
      </c>
    </row>
    <row r="14" spans="1:32" ht="16.149999999999999" customHeight="1" x14ac:dyDescent="0.2">
      <c r="A14" s="2"/>
      <c r="B14" s="22" t="s">
        <v>52</v>
      </c>
      <c r="C14" s="19">
        <v>0</v>
      </c>
      <c r="D14" s="19">
        <f>R22</f>
        <v>0</v>
      </c>
      <c r="E14" s="20">
        <f>Table11438506274869829162337[Projected Cost]-Table11438506274869829162337[Actual Cost]</f>
        <v>0</v>
      </c>
      <c r="F14" s="5"/>
      <c r="H14" s="26"/>
      <c r="I14" s="27"/>
      <c r="J14" s="42"/>
      <c r="K14" s="47" t="s">
        <v>53</v>
      </c>
      <c r="L14" s="48"/>
      <c r="M14" s="44"/>
      <c r="N14" s="47" t="s">
        <v>56</v>
      </c>
      <c r="O14" s="48"/>
      <c r="P14" s="44"/>
      <c r="Q14" s="47" t="s">
        <v>55</v>
      </c>
      <c r="R14" s="48"/>
      <c r="S14" s="44"/>
      <c r="T14" s="47" t="s">
        <v>57</v>
      </c>
      <c r="U14" s="48"/>
      <c r="V14" s="44"/>
      <c r="W14" s="47"/>
      <c r="X14" s="48"/>
    </row>
    <row r="15" spans="1:32" ht="16.149999999999999" customHeight="1" thickBot="1" x14ac:dyDescent="0.25">
      <c r="A15" s="2"/>
      <c r="B15" s="22" t="s">
        <v>5</v>
      </c>
      <c r="C15" s="19">
        <v>50</v>
      </c>
      <c r="D15" s="19">
        <f>U22</f>
        <v>0</v>
      </c>
      <c r="E15" s="20">
        <f>Table11438506274869829162337[Projected Cost]-Table11438506274869829162337[Actual Cost]</f>
        <v>50</v>
      </c>
      <c r="F15" s="5"/>
      <c r="H15" s="26"/>
      <c r="I15" s="27"/>
      <c r="J15" s="42"/>
      <c r="K15" s="47"/>
      <c r="L15" s="48"/>
      <c r="M15" s="44"/>
      <c r="N15" s="47"/>
      <c r="O15" s="48"/>
      <c r="P15" s="44"/>
      <c r="Q15" s="47"/>
      <c r="R15" s="48"/>
      <c r="S15" s="44"/>
      <c r="T15" s="47"/>
      <c r="U15" s="48"/>
      <c r="V15" s="44"/>
      <c r="W15" s="47"/>
      <c r="X15" s="48"/>
    </row>
    <row r="16" spans="1:32" ht="16.149999999999999" customHeight="1" thickBot="1" x14ac:dyDescent="0.25">
      <c r="A16" s="2"/>
      <c r="B16" s="22" t="s">
        <v>6</v>
      </c>
      <c r="C16" s="19">
        <v>50</v>
      </c>
      <c r="D16" s="19">
        <f>X18</f>
        <v>0</v>
      </c>
      <c r="E16" s="20">
        <f>Table11438506274869829162337[Projected Cost]-Table11438506274869829162337[Actual Cost]</f>
        <v>50</v>
      </c>
      <c r="F16" s="5"/>
      <c r="H16" s="26"/>
      <c r="I16" s="27"/>
      <c r="J16" s="42"/>
      <c r="K16" s="49" t="s">
        <v>33</v>
      </c>
      <c r="L16" s="50">
        <f>SUM(L14:L15)</f>
        <v>0</v>
      </c>
      <c r="M16" s="44"/>
      <c r="N16" s="49" t="s">
        <v>33</v>
      </c>
      <c r="O16" s="50">
        <f>SUM(O14:O15)</f>
        <v>0</v>
      </c>
      <c r="P16" s="44"/>
      <c r="Q16" s="47"/>
      <c r="R16" s="48"/>
      <c r="S16" s="44"/>
      <c r="T16" s="47"/>
      <c r="U16" s="48"/>
      <c r="V16" s="44"/>
      <c r="W16" s="47"/>
      <c r="X16" s="48"/>
    </row>
    <row r="17" spans="1:24" ht="16.149999999999999" customHeight="1" thickBot="1" x14ac:dyDescent="0.25">
      <c r="A17" s="2"/>
      <c r="B17" s="16" t="s">
        <v>33</v>
      </c>
      <c r="C17" s="19">
        <f>SUBTOTAL(109,Table11438506274869829162337[Projected Cost])</f>
        <v>100</v>
      </c>
      <c r="D17" s="19">
        <f>SUBTOTAL(109,Table11438506274869829162337[Actual Cost])</f>
        <v>0</v>
      </c>
      <c r="E17" s="21">
        <f>SUBTOTAL(109,Table11438506274869829162337[Difference])</f>
        <v>100</v>
      </c>
      <c r="F17" s="5"/>
      <c r="H17" s="28"/>
      <c r="I17" s="29"/>
      <c r="J17" s="42"/>
      <c r="K17" s="51"/>
      <c r="L17" s="44"/>
      <c r="M17" s="44"/>
      <c r="N17" s="44"/>
      <c r="O17" s="44"/>
      <c r="P17" s="44"/>
      <c r="Q17" s="47"/>
      <c r="R17" s="48"/>
      <c r="S17" s="44"/>
      <c r="T17" s="47"/>
      <c r="U17" s="48"/>
      <c r="V17" s="44"/>
      <c r="W17" s="47"/>
      <c r="X17" s="48"/>
    </row>
    <row r="18" spans="1:24" ht="16.149999999999999" customHeight="1" thickBot="1" x14ac:dyDescent="0.25">
      <c r="A18" s="2"/>
      <c r="B18" s="16"/>
      <c r="C18" s="19"/>
      <c r="D18" s="19"/>
      <c r="E18" s="21"/>
      <c r="F18" s="5"/>
      <c r="H18" s="28"/>
      <c r="I18" s="29"/>
      <c r="J18" s="42"/>
      <c r="K18" s="52"/>
      <c r="L18" s="53"/>
      <c r="M18" s="44"/>
      <c r="N18" s="44"/>
      <c r="O18" s="44"/>
      <c r="P18" s="44"/>
      <c r="Q18" s="47"/>
      <c r="R18" s="48"/>
      <c r="S18" s="44"/>
      <c r="T18" s="47"/>
      <c r="U18" s="48"/>
      <c r="V18" s="44"/>
      <c r="W18" s="49" t="s">
        <v>33</v>
      </c>
      <c r="X18" s="50">
        <f>SUM(X14:X17)</f>
        <v>0</v>
      </c>
    </row>
    <row r="19" spans="1:24" ht="16.149999999999999" customHeight="1" x14ac:dyDescent="0.2">
      <c r="A19" s="2"/>
      <c r="B19" s="16" t="s">
        <v>22</v>
      </c>
      <c r="C19" s="17" t="s">
        <v>0</v>
      </c>
      <c r="D19" s="17" t="s">
        <v>1</v>
      </c>
      <c r="E19" s="18" t="s">
        <v>2</v>
      </c>
      <c r="F19" s="14"/>
      <c r="H19" s="28"/>
      <c r="I19" s="29"/>
      <c r="J19" s="42"/>
      <c r="K19" s="52"/>
      <c r="L19" s="53"/>
      <c r="M19" s="44"/>
      <c r="N19" s="44"/>
      <c r="O19" s="44"/>
      <c r="P19" s="44"/>
      <c r="Q19" s="47"/>
      <c r="R19" s="48"/>
      <c r="S19" s="44"/>
      <c r="T19" s="47"/>
      <c r="U19" s="48"/>
      <c r="V19" s="44"/>
      <c r="W19" s="44"/>
      <c r="X19" s="54"/>
    </row>
    <row r="20" spans="1:24" ht="15.75" customHeight="1" x14ac:dyDescent="0.2">
      <c r="A20" s="2"/>
      <c r="B20" s="22" t="s">
        <v>48</v>
      </c>
      <c r="C20" s="19">
        <f>IF('Starting Page'!I24="Yes",'Starting Page'!I25/8,IF('Starting Page'!I27="Yes",'Starting Page'!I28,0))</f>
        <v>0</v>
      </c>
      <c r="D20" s="19">
        <f>L29</f>
        <v>0</v>
      </c>
      <c r="E20" s="20">
        <f>Table1143850627486983101731[Projected Cost]-Table1143850627486983101731[Actual Cost]</f>
        <v>0</v>
      </c>
      <c r="F20" s="67"/>
      <c r="H20" s="28"/>
      <c r="I20" s="29"/>
      <c r="J20" s="42"/>
      <c r="K20" s="51"/>
      <c r="L20" s="44"/>
      <c r="M20" s="44"/>
      <c r="N20" s="44"/>
      <c r="O20" s="44"/>
      <c r="P20" s="44"/>
      <c r="Q20" s="47"/>
      <c r="R20" s="48"/>
      <c r="S20" s="44"/>
      <c r="T20" s="47"/>
      <c r="U20" s="48"/>
      <c r="V20" s="44"/>
      <c r="W20" s="44"/>
      <c r="X20" s="54"/>
    </row>
    <row r="21" spans="1:24" ht="15.75" customHeight="1" thickBot="1" x14ac:dyDescent="0.25">
      <c r="A21" s="2"/>
      <c r="B21" s="22" t="s">
        <v>4</v>
      </c>
      <c r="C21" s="19">
        <v>70</v>
      </c>
      <c r="D21" s="19">
        <f>O29</f>
        <v>0</v>
      </c>
      <c r="E21" s="20">
        <f>Table1143850627486983101731[Projected Cost]-Table1143850627486983101731[Actual Cost]</f>
        <v>70</v>
      </c>
      <c r="F21" s="67"/>
      <c r="H21" s="28"/>
      <c r="I21" s="29"/>
      <c r="J21" s="42"/>
      <c r="K21" s="51"/>
      <c r="L21" s="44"/>
      <c r="M21" s="44"/>
      <c r="N21" s="44"/>
      <c r="O21" s="44"/>
      <c r="P21" s="44"/>
      <c r="Q21" s="47"/>
      <c r="R21" s="48"/>
      <c r="S21" s="44"/>
      <c r="T21" s="47"/>
      <c r="U21" s="48"/>
      <c r="V21" s="44"/>
      <c r="W21" s="44"/>
      <c r="X21" s="54"/>
    </row>
    <row r="22" spans="1:24" ht="15.75" customHeight="1" thickBot="1" x14ac:dyDescent="0.25">
      <c r="A22" s="2"/>
      <c r="B22" s="22" t="s">
        <v>47</v>
      </c>
      <c r="C22" s="19">
        <v>20</v>
      </c>
      <c r="D22" s="19">
        <f>R29</f>
        <v>0</v>
      </c>
      <c r="E22" s="20">
        <f>Table1143850627486983101731[Projected Cost]-Table1143850627486983101731[Actual Cost]</f>
        <v>20</v>
      </c>
      <c r="F22" s="67"/>
      <c r="H22" s="28"/>
      <c r="I22" s="29"/>
      <c r="J22" s="42"/>
      <c r="K22" s="55"/>
      <c r="L22" s="56"/>
      <c r="M22" s="56"/>
      <c r="N22" s="56"/>
      <c r="O22" s="56"/>
      <c r="P22" s="56"/>
      <c r="Q22" s="49" t="s">
        <v>33</v>
      </c>
      <c r="R22" s="50">
        <f>SUM(R14:R21)</f>
        <v>0</v>
      </c>
      <c r="S22" s="56"/>
      <c r="T22" s="49" t="s">
        <v>33</v>
      </c>
      <c r="U22" s="50">
        <f>SUM(U14:U21)</f>
        <v>0</v>
      </c>
      <c r="V22" s="56"/>
      <c r="W22" s="56"/>
      <c r="X22" s="57"/>
    </row>
    <row r="23" spans="1:24" ht="15.75" customHeight="1" thickBot="1" x14ac:dyDescent="0.25">
      <c r="A23" s="2"/>
      <c r="B23" s="22" t="s">
        <v>37</v>
      </c>
      <c r="C23" s="19">
        <v>20</v>
      </c>
      <c r="D23" s="19">
        <f>U29</f>
        <v>0</v>
      </c>
      <c r="E23" s="20">
        <f>Table1143850627486983101731[Projected Cost]-Table1143850627486983101731[Actual Cost]</f>
        <v>20</v>
      </c>
      <c r="F23" s="67"/>
      <c r="H23" s="36" t="s">
        <v>33</v>
      </c>
      <c r="I23" s="30">
        <f>SUM(I13:I22)</f>
        <v>0</v>
      </c>
      <c r="J23" s="42"/>
      <c r="U23" s="23"/>
    </row>
    <row r="24" spans="1:24" ht="15.75" customHeight="1" thickBot="1" x14ac:dyDescent="0.25">
      <c r="A24" s="2"/>
      <c r="B24" s="22" t="s">
        <v>6</v>
      </c>
      <c r="C24" s="19">
        <v>50</v>
      </c>
      <c r="D24" s="19">
        <f>X29</f>
        <v>0</v>
      </c>
      <c r="E24" s="20">
        <f>Table1143850627486983101731[Projected Cost]-Table1143850627486983101731[Actual Cost]</f>
        <v>50</v>
      </c>
      <c r="F24" s="67"/>
      <c r="I24" s="43"/>
      <c r="J24" s="42"/>
      <c r="K24" s="139" t="s">
        <v>58</v>
      </c>
      <c r="L24" s="140"/>
      <c r="M24" s="140"/>
      <c r="N24" s="140"/>
      <c r="O24" s="140"/>
      <c r="P24" s="140"/>
      <c r="Q24" s="140"/>
      <c r="R24" s="140"/>
      <c r="S24" s="140"/>
      <c r="T24" s="140"/>
      <c r="U24" s="140"/>
      <c r="V24" s="140"/>
      <c r="W24" s="140"/>
      <c r="X24" s="141"/>
    </row>
    <row r="25" spans="1:24" ht="15.75" customHeight="1" thickBot="1" x14ac:dyDescent="0.25">
      <c r="A25" s="2"/>
      <c r="B25" s="16" t="s">
        <v>33</v>
      </c>
      <c r="C25" s="19">
        <f>SUBTOTAL(109,Table1143850627486983101731[Projected Cost])</f>
        <v>160</v>
      </c>
      <c r="D25" s="19">
        <f>SUBTOTAL(109,Table1143850627486983101731[Actual Cost])</f>
        <v>0</v>
      </c>
      <c r="E25" s="21">
        <f>SUBTOTAL(109,Table1143850627486983101731[Difference])</f>
        <v>160</v>
      </c>
      <c r="F25" s="67"/>
      <c r="J25" s="42"/>
      <c r="K25" s="148" t="s">
        <v>48</v>
      </c>
      <c r="L25" s="149"/>
      <c r="M25" s="44"/>
      <c r="N25" s="148" t="s">
        <v>4</v>
      </c>
      <c r="O25" s="149"/>
      <c r="P25" s="44"/>
      <c r="Q25" s="148" t="s">
        <v>47</v>
      </c>
      <c r="R25" s="149"/>
      <c r="S25" s="44"/>
      <c r="T25" s="148" t="s">
        <v>37</v>
      </c>
      <c r="U25" s="149"/>
      <c r="V25" s="44"/>
      <c r="W25" s="148" t="s">
        <v>6</v>
      </c>
      <c r="X25" s="149"/>
    </row>
    <row r="26" spans="1:24" ht="15.75" customHeight="1" thickBot="1" x14ac:dyDescent="0.25">
      <c r="A26" s="2"/>
      <c r="B26" s="113"/>
      <c r="C26" s="113"/>
      <c r="D26" s="113"/>
      <c r="E26" s="113"/>
      <c r="F26" s="67"/>
      <c r="J26" s="42"/>
      <c r="K26" s="45" t="s">
        <v>38</v>
      </c>
      <c r="L26" s="46" t="s">
        <v>46</v>
      </c>
      <c r="M26" s="44"/>
      <c r="N26" s="45" t="s">
        <v>38</v>
      </c>
      <c r="O26" s="46" t="s">
        <v>46</v>
      </c>
      <c r="P26" s="44"/>
      <c r="Q26" s="45" t="s">
        <v>38</v>
      </c>
      <c r="R26" s="46" t="s">
        <v>46</v>
      </c>
      <c r="S26" s="44"/>
      <c r="T26" s="45" t="s">
        <v>38</v>
      </c>
      <c r="U26" s="46" t="s">
        <v>46</v>
      </c>
      <c r="V26" s="44"/>
      <c r="W26" s="45" t="s">
        <v>38</v>
      </c>
      <c r="X26" s="46" t="s">
        <v>46</v>
      </c>
    </row>
    <row r="27" spans="1:24" ht="15.75" customHeight="1" x14ac:dyDescent="0.2">
      <c r="A27" s="2"/>
      <c r="B27" s="16" t="s">
        <v>24</v>
      </c>
      <c r="C27" s="17" t="s">
        <v>0</v>
      </c>
      <c r="D27" s="17" t="s">
        <v>1</v>
      </c>
      <c r="E27" s="18" t="s">
        <v>2</v>
      </c>
      <c r="F27" s="67"/>
      <c r="J27" s="42"/>
      <c r="K27" s="47" t="s">
        <v>48</v>
      </c>
      <c r="L27" s="48"/>
      <c r="M27" s="44"/>
      <c r="N27" s="47" t="s">
        <v>59</v>
      </c>
      <c r="O27" s="48"/>
      <c r="P27" s="44"/>
      <c r="Q27" s="47" t="s">
        <v>60</v>
      </c>
      <c r="R27" s="48"/>
      <c r="S27" s="44"/>
      <c r="T27" s="47" t="s">
        <v>59</v>
      </c>
      <c r="U27" s="48"/>
      <c r="V27" s="44"/>
      <c r="W27" s="47" t="s">
        <v>61</v>
      </c>
      <c r="X27" s="48"/>
    </row>
    <row r="28" spans="1:24" ht="15.75" customHeight="1" thickBot="1" x14ac:dyDescent="0.25">
      <c r="A28" s="2"/>
      <c r="B28" s="22" t="s">
        <v>20</v>
      </c>
      <c r="C28" s="19">
        <v>0</v>
      </c>
      <c r="D28" s="19">
        <f>L36</f>
        <v>0</v>
      </c>
      <c r="E28" s="20">
        <f>Table32145576981931056132034[Projected Cost]-Table32145576981931056132034[Actual Cost]</f>
        <v>0</v>
      </c>
      <c r="F28" s="67"/>
      <c r="J28" s="43"/>
      <c r="K28" s="47"/>
      <c r="L28" s="48"/>
      <c r="M28" s="44"/>
      <c r="N28" s="47"/>
      <c r="O28" s="48"/>
      <c r="P28" s="44"/>
      <c r="Q28" s="47"/>
      <c r="R28" s="48"/>
      <c r="S28" s="44"/>
      <c r="T28" s="47"/>
      <c r="U28" s="48"/>
      <c r="V28" s="44"/>
      <c r="W28" s="47"/>
      <c r="X28" s="48"/>
    </row>
    <row r="29" spans="1:24" ht="15.75" customHeight="1" thickBot="1" x14ac:dyDescent="0.25">
      <c r="A29" s="2"/>
      <c r="B29" s="22" t="s">
        <v>7</v>
      </c>
      <c r="C29" s="19">
        <v>0</v>
      </c>
      <c r="D29" s="19">
        <f>O36</f>
        <v>0</v>
      </c>
      <c r="E29" s="20">
        <f>Table32145576981931056132034[Projected Cost]-Table32145576981931056132034[Actual Cost]</f>
        <v>0</v>
      </c>
      <c r="F29" s="67"/>
      <c r="K29" s="49" t="s">
        <v>33</v>
      </c>
      <c r="L29" s="50">
        <f>SUM(L27:L28)</f>
        <v>0</v>
      </c>
      <c r="M29" s="56"/>
      <c r="N29" s="49" t="s">
        <v>33</v>
      </c>
      <c r="O29" s="50">
        <f>SUM(O27:O28)</f>
        <v>0</v>
      </c>
      <c r="P29" s="56"/>
      <c r="Q29" s="49" t="s">
        <v>33</v>
      </c>
      <c r="R29" s="50">
        <f>SUM(R27:R28)</f>
        <v>0</v>
      </c>
      <c r="S29" s="56"/>
      <c r="T29" s="49" t="s">
        <v>33</v>
      </c>
      <c r="U29" s="50">
        <f>SUM(U27:U28)</f>
        <v>0</v>
      </c>
      <c r="V29" s="56"/>
      <c r="W29" s="49" t="s">
        <v>33</v>
      </c>
      <c r="X29" s="50">
        <f>SUM(X27:X28)</f>
        <v>0</v>
      </c>
    </row>
    <row r="30" spans="1:24" ht="15.75" customHeight="1" thickBot="1" x14ac:dyDescent="0.25">
      <c r="A30" s="2"/>
      <c r="B30" s="22" t="s">
        <v>8</v>
      </c>
      <c r="C30" s="19">
        <v>0</v>
      </c>
      <c r="D30" s="19">
        <f>R40</f>
        <v>0</v>
      </c>
      <c r="E30" s="20">
        <f>Table32145576981931056132034[Projected Cost]-Table32145576981931056132034[Actual Cost]</f>
        <v>0</v>
      </c>
      <c r="F30" s="67"/>
      <c r="K30" s="44"/>
      <c r="L30" s="44"/>
      <c r="M30" s="44"/>
      <c r="N30" s="44"/>
      <c r="O30" s="44"/>
      <c r="P30" s="44"/>
      <c r="Q30" s="58"/>
      <c r="R30" s="58"/>
      <c r="S30" s="58"/>
      <c r="T30" s="58"/>
      <c r="U30" s="58"/>
      <c r="V30" s="44"/>
      <c r="W30" s="44"/>
      <c r="X30" s="44"/>
    </row>
    <row r="31" spans="1:24" ht="15.75" customHeight="1" thickBot="1" x14ac:dyDescent="0.25">
      <c r="A31" s="2"/>
      <c r="B31" s="22" t="s">
        <v>9</v>
      </c>
      <c r="C31" s="19">
        <v>0</v>
      </c>
      <c r="D31" s="19">
        <f>U38</f>
        <v>0</v>
      </c>
      <c r="E31" s="20">
        <f>Table32145576981931056132034[Projected Cost]-Table32145576981931056132034[Actual Cost]</f>
        <v>0</v>
      </c>
      <c r="F31" s="67"/>
      <c r="K31" s="139" t="s">
        <v>63</v>
      </c>
      <c r="L31" s="140"/>
      <c r="M31" s="140"/>
      <c r="N31" s="140"/>
      <c r="O31" s="140"/>
      <c r="P31" s="140"/>
      <c r="Q31" s="140"/>
      <c r="R31" s="140"/>
      <c r="S31" s="140"/>
      <c r="T31" s="140"/>
      <c r="U31" s="140"/>
      <c r="V31" s="140"/>
      <c r="W31" s="140"/>
      <c r="X31" s="141"/>
    </row>
    <row r="32" spans="1:24" ht="15.75" customHeight="1" thickBot="1" x14ac:dyDescent="0.25">
      <c r="A32" s="2"/>
      <c r="B32" s="22" t="s">
        <v>62</v>
      </c>
      <c r="C32" s="19">
        <v>50</v>
      </c>
      <c r="D32" s="19">
        <f>X40</f>
        <v>0</v>
      </c>
      <c r="E32" s="20">
        <f>Table32145576981931056132034[Projected Cost]-Table32145576981931056132034[Actual Cost]</f>
        <v>50</v>
      </c>
      <c r="F32" s="67"/>
      <c r="K32" s="148" t="s">
        <v>39</v>
      </c>
      <c r="L32" s="149"/>
      <c r="M32" s="44"/>
      <c r="N32" s="148" t="s">
        <v>7</v>
      </c>
      <c r="O32" s="149"/>
      <c r="P32" s="44"/>
      <c r="Q32" s="148" t="s">
        <v>8</v>
      </c>
      <c r="R32" s="149"/>
      <c r="S32" s="44"/>
      <c r="T32" s="148" t="s">
        <v>9</v>
      </c>
      <c r="U32" s="149"/>
      <c r="V32" s="44"/>
      <c r="W32" s="148" t="s">
        <v>62</v>
      </c>
      <c r="X32" s="149"/>
    </row>
    <row r="33" spans="1:24" ht="15.75" customHeight="1" thickBot="1" x14ac:dyDescent="0.25">
      <c r="A33" s="2"/>
      <c r="B33" s="16" t="s">
        <v>33</v>
      </c>
      <c r="C33" s="19">
        <f>SUBTOTAL(109,Table32145576981931056132034[Projected Cost])</f>
        <v>50</v>
      </c>
      <c r="D33" s="19">
        <f>SUBTOTAL(109,Table32145576981931056132034[Actual Cost])</f>
        <v>0</v>
      </c>
      <c r="E33" s="21">
        <f>SUBTOTAL(109,Table32145576981931056132034[Difference])</f>
        <v>50</v>
      </c>
      <c r="F33" s="67"/>
      <c r="K33" s="45" t="s">
        <v>38</v>
      </c>
      <c r="L33" s="46" t="s">
        <v>46</v>
      </c>
      <c r="M33" s="44"/>
      <c r="N33" s="45" t="s">
        <v>38</v>
      </c>
      <c r="O33" s="46" t="s">
        <v>46</v>
      </c>
      <c r="P33" s="44"/>
      <c r="Q33" s="45" t="s">
        <v>38</v>
      </c>
      <c r="R33" s="46" t="s">
        <v>46</v>
      </c>
      <c r="S33" s="44"/>
      <c r="T33" s="45" t="s">
        <v>38</v>
      </c>
      <c r="U33" s="46" t="s">
        <v>46</v>
      </c>
      <c r="V33" s="44"/>
      <c r="W33" s="45" t="s">
        <v>38</v>
      </c>
      <c r="X33" s="46" t="s">
        <v>46</v>
      </c>
    </row>
    <row r="34" spans="1:24" ht="15.75" customHeight="1" x14ac:dyDescent="0.2">
      <c r="A34" s="2"/>
      <c r="B34" s="113"/>
      <c r="C34" s="113"/>
      <c r="D34" s="113"/>
      <c r="E34" s="113"/>
      <c r="F34" s="67"/>
      <c r="K34" s="47" t="s">
        <v>64</v>
      </c>
      <c r="L34" s="48"/>
      <c r="M34" s="44"/>
      <c r="N34" s="47" t="s">
        <v>59</v>
      </c>
      <c r="O34" s="48"/>
      <c r="P34" s="44"/>
      <c r="Q34" s="47" t="s">
        <v>65</v>
      </c>
      <c r="R34" s="48"/>
      <c r="S34" s="44"/>
      <c r="T34" s="47" t="s">
        <v>67</v>
      </c>
      <c r="U34" s="48"/>
      <c r="V34" s="44"/>
      <c r="W34" s="47" t="s">
        <v>66</v>
      </c>
      <c r="X34" s="48"/>
    </row>
    <row r="35" spans="1:24" ht="15.75" customHeight="1" thickBot="1" x14ac:dyDescent="0.25">
      <c r="A35" s="2"/>
      <c r="B35" s="16" t="s">
        <v>25</v>
      </c>
      <c r="C35" s="17" t="s">
        <v>0</v>
      </c>
      <c r="D35" s="17" t="s">
        <v>1</v>
      </c>
      <c r="E35" s="18" t="s">
        <v>2</v>
      </c>
      <c r="F35" s="67"/>
      <c r="K35" s="47"/>
      <c r="L35" s="48"/>
      <c r="M35" s="44"/>
      <c r="N35" s="47"/>
      <c r="O35" s="48"/>
      <c r="P35" s="44"/>
      <c r="Q35" s="47"/>
      <c r="R35" s="48"/>
      <c r="S35" s="44"/>
      <c r="T35" s="47"/>
      <c r="U35" s="48"/>
      <c r="V35" s="44"/>
      <c r="W35" s="47"/>
      <c r="X35" s="48"/>
    </row>
    <row r="36" spans="1:24" ht="15.75" customHeight="1" thickBot="1" x14ac:dyDescent="0.25">
      <c r="A36" s="2"/>
      <c r="B36" s="22" t="s">
        <v>68</v>
      </c>
      <c r="C36" s="19">
        <v>15</v>
      </c>
      <c r="D36" s="19">
        <f>L46</f>
        <v>0</v>
      </c>
      <c r="E36" s="20">
        <f>Table4153951637587994111832[Projected Cost]-Table4153951637587994111832[Actual Cost]</f>
        <v>15</v>
      </c>
      <c r="F36" s="67"/>
      <c r="K36" s="49" t="s">
        <v>33</v>
      </c>
      <c r="L36" s="50">
        <f>SUM(L34:L35)</f>
        <v>0</v>
      </c>
      <c r="M36" s="44"/>
      <c r="N36" s="49" t="s">
        <v>33</v>
      </c>
      <c r="O36" s="50">
        <f>SUM(O34:O35)</f>
        <v>0</v>
      </c>
      <c r="P36" s="44"/>
      <c r="Q36" s="47"/>
      <c r="R36" s="48"/>
      <c r="S36" s="44"/>
      <c r="T36" s="47"/>
      <c r="U36" s="48"/>
      <c r="V36" s="44"/>
      <c r="W36" s="47"/>
      <c r="X36" s="48"/>
    </row>
    <row r="37" spans="1:24" ht="15.75" customHeight="1" thickBot="1" x14ac:dyDescent="0.25">
      <c r="A37" s="2"/>
      <c r="B37" s="16" t="s">
        <v>33</v>
      </c>
      <c r="C37" s="19">
        <f>SUBTOTAL(109,Table4153951637587994111832[Projected Cost])</f>
        <v>15</v>
      </c>
      <c r="D37" s="19">
        <f>SUBTOTAL(109,Table4153951637587994111832[Actual Cost])</f>
        <v>0</v>
      </c>
      <c r="E37" s="21">
        <f>SUBTOTAL(109,Table4153951637587994111832[Difference])</f>
        <v>15</v>
      </c>
      <c r="F37" s="67"/>
      <c r="K37" s="62"/>
      <c r="L37" s="58"/>
      <c r="M37" s="44"/>
      <c r="N37" s="58"/>
      <c r="O37" s="58"/>
      <c r="P37" s="44"/>
      <c r="Q37" s="47"/>
      <c r="R37" s="48"/>
      <c r="S37" s="44"/>
      <c r="T37" s="47"/>
      <c r="U37" s="48"/>
      <c r="V37" s="44"/>
      <c r="W37" s="47"/>
      <c r="X37" s="48"/>
    </row>
    <row r="38" spans="1:24" ht="15.75" customHeight="1" thickBot="1" x14ac:dyDescent="0.25">
      <c r="A38" s="2"/>
      <c r="B38" s="113"/>
      <c r="C38" s="113"/>
      <c r="D38" s="113"/>
      <c r="E38" s="113"/>
      <c r="F38" s="67"/>
      <c r="K38" s="62"/>
      <c r="L38" s="58"/>
      <c r="M38" s="44"/>
      <c r="N38" s="58"/>
      <c r="O38" s="58"/>
      <c r="P38" s="44"/>
      <c r="Q38" s="47"/>
      <c r="R38" s="48"/>
      <c r="S38" s="44"/>
      <c r="T38" s="49" t="s">
        <v>33</v>
      </c>
      <c r="U38" s="50">
        <f>SUM(U34:U37)</f>
        <v>0</v>
      </c>
      <c r="V38" s="44"/>
      <c r="W38" s="47"/>
      <c r="X38" s="48"/>
    </row>
    <row r="39" spans="1:24" ht="15.75" customHeight="1" thickBot="1" x14ac:dyDescent="0.25">
      <c r="A39" s="2"/>
      <c r="B39" s="16" t="s">
        <v>26</v>
      </c>
      <c r="C39" s="17" t="s">
        <v>0</v>
      </c>
      <c r="D39" s="17" t="s">
        <v>1</v>
      </c>
      <c r="E39" s="18" t="s">
        <v>2</v>
      </c>
      <c r="F39" s="67"/>
      <c r="K39" s="62"/>
      <c r="L39" s="58"/>
      <c r="M39" s="44"/>
      <c r="N39" s="58"/>
      <c r="O39" s="58"/>
      <c r="P39" s="44"/>
      <c r="Q39" s="47"/>
      <c r="R39" s="48"/>
      <c r="S39" s="44"/>
      <c r="T39" s="58"/>
      <c r="U39" s="58"/>
      <c r="V39" s="44"/>
      <c r="W39" s="47"/>
      <c r="X39" s="48"/>
    </row>
    <row r="40" spans="1:24" ht="15.75" customHeight="1" thickBot="1" x14ac:dyDescent="0.25">
      <c r="A40" s="2"/>
      <c r="B40" s="22" t="s">
        <v>92</v>
      </c>
      <c r="C40" s="19">
        <f>IF('Starting Page'!I24="Yes",'Starting Page'!I26/8,300)</f>
        <v>300</v>
      </c>
      <c r="D40" s="19">
        <f>O53</f>
        <v>0</v>
      </c>
      <c r="E40" s="20">
        <f>Table51943556779911035121933[Projected Cost]-Table51943556779911035121933[Actual Cost]</f>
        <v>300</v>
      </c>
      <c r="F40" s="67"/>
      <c r="K40" s="63"/>
      <c r="L40" s="59"/>
      <c r="M40" s="56"/>
      <c r="N40" s="59"/>
      <c r="O40" s="59"/>
      <c r="P40" s="56"/>
      <c r="Q40" s="49" t="s">
        <v>33</v>
      </c>
      <c r="R40" s="50">
        <f>SUM(R34:R39)</f>
        <v>0</v>
      </c>
      <c r="S40" s="56"/>
      <c r="T40" s="59"/>
      <c r="U40" s="59"/>
      <c r="V40" s="56"/>
      <c r="W40" s="49" t="s">
        <v>33</v>
      </c>
      <c r="X40" s="50">
        <f>SUM(X34:X39)</f>
        <v>0</v>
      </c>
    </row>
    <row r="41" spans="1:24" ht="15.75" customHeight="1" thickBot="1" x14ac:dyDescent="0.25">
      <c r="A41" s="2"/>
      <c r="B41" s="22" t="s">
        <v>15</v>
      </c>
      <c r="C41" s="19">
        <v>100</v>
      </c>
      <c r="D41" s="19">
        <f>R53</f>
        <v>0</v>
      </c>
      <c r="E41" s="20">
        <f>Table51943556779911035121933[Projected Cost]-Table51943556779911035121933[Actual Cost]</f>
        <v>100</v>
      </c>
      <c r="F41" s="67"/>
    </row>
    <row r="42" spans="1:24" ht="15.75" customHeight="1" thickBot="1" x14ac:dyDescent="0.25">
      <c r="A42" s="2"/>
      <c r="B42" s="22" t="s">
        <v>6</v>
      </c>
      <c r="C42" s="19">
        <v>0</v>
      </c>
      <c r="D42" s="19">
        <f>U49</f>
        <v>0</v>
      </c>
      <c r="E42" s="20">
        <f>Table51943556779911035121933[Projected Cost]-Table51943556779911035121933[Actual Cost]</f>
        <v>0</v>
      </c>
      <c r="F42" s="67"/>
      <c r="K42" s="144" t="s">
        <v>68</v>
      </c>
      <c r="L42" s="145"/>
      <c r="N42" s="139" t="s">
        <v>11</v>
      </c>
      <c r="O42" s="140"/>
      <c r="P42" s="140"/>
      <c r="Q42" s="140"/>
      <c r="R42" s="140"/>
      <c r="S42" s="140"/>
      <c r="T42" s="140"/>
      <c r="U42" s="141"/>
    </row>
    <row r="43" spans="1:24" ht="15.75" customHeight="1" thickBot="1" x14ac:dyDescent="0.25">
      <c r="A43" s="2"/>
      <c r="B43" s="16" t="s">
        <v>33</v>
      </c>
      <c r="C43" s="19">
        <f>SUBTOTAL(109,Table51943556779911035121933[Projected Cost])</f>
        <v>400</v>
      </c>
      <c r="D43" s="19">
        <f>SUBTOTAL(109,Table51943556779911035121933[Actual Cost])</f>
        <v>0</v>
      </c>
      <c r="E43" s="21">
        <f>SUBTOTAL(109,Table51943556779911035121933[Difference])</f>
        <v>400</v>
      </c>
      <c r="F43" s="67"/>
      <c r="K43" s="45" t="s">
        <v>38</v>
      </c>
      <c r="L43" s="46" t="s">
        <v>46</v>
      </c>
      <c r="N43" s="148" t="s">
        <v>10</v>
      </c>
      <c r="O43" s="149"/>
      <c r="P43" s="44"/>
      <c r="Q43" s="148" t="s">
        <v>40</v>
      </c>
      <c r="R43" s="149"/>
      <c r="S43" s="58"/>
      <c r="T43" s="148" t="s">
        <v>6</v>
      </c>
      <c r="U43" s="149"/>
    </row>
    <row r="44" spans="1:24" ht="15.75" customHeight="1" thickBot="1" x14ac:dyDescent="0.25">
      <c r="A44" s="2"/>
      <c r="B44" s="113"/>
      <c r="C44" s="113"/>
      <c r="D44" s="113"/>
      <c r="E44" s="113"/>
      <c r="F44" s="67"/>
      <c r="K44" s="47" t="s">
        <v>59</v>
      </c>
      <c r="L44" s="48"/>
      <c r="N44" s="45" t="s">
        <v>38</v>
      </c>
      <c r="O44" s="46" t="s">
        <v>46</v>
      </c>
      <c r="P44" s="44"/>
      <c r="Q44" s="45" t="s">
        <v>38</v>
      </c>
      <c r="R44" s="46" t="s">
        <v>46</v>
      </c>
      <c r="S44" s="58"/>
      <c r="T44" s="45" t="s">
        <v>38</v>
      </c>
      <c r="U44" s="46" t="s">
        <v>46</v>
      </c>
    </row>
    <row r="45" spans="1:24" ht="15.75" customHeight="1" thickBot="1" x14ac:dyDescent="0.25">
      <c r="A45" s="2"/>
      <c r="B45" s="16" t="s">
        <v>27</v>
      </c>
      <c r="C45" s="17" t="s">
        <v>0</v>
      </c>
      <c r="D45" s="17" t="s">
        <v>1</v>
      </c>
      <c r="E45" s="18" t="s">
        <v>2</v>
      </c>
      <c r="F45" s="67"/>
      <c r="K45" s="47"/>
      <c r="L45" s="48"/>
      <c r="N45" s="47" t="s">
        <v>69</v>
      </c>
      <c r="O45" s="48"/>
      <c r="P45" s="44"/>
      <c r="Q45" s="47" t="s">
        <v>70</v>
      </c>
      <c r="R45" s="48"/>
      <c r="S45" s="58"/>
      <c r="T45" s="47"/>
      <c r="U45" s="48"/>
    </row>
    <row r="46" spans="1:24" ht="17.25" customHeight="1" thickBot="1" x14ac:dyDescent="0.25">
      <c r="A46" s="2"/>
      <c r="B46" s="22" t="s">
        <v>12</v>
      </c>
      <c r="C46" s="19">
        <v>20</v>
      </c>
      <c r="D46" s="19">
        <f>L61</f>
        <v>0</v>
      </c>
      <c r="E46" s="20">
        <f>Table72448607284961087142135[Projected Cost]-Table72448607284961087142135[Actual Cost]</f>
        <v>20</v>
      </c>
      <c r="F46" s="67"/>
      <c r="K46" s="49" t="s">
        <v>33</v>
      </c>
      <c r="L46" s="50">
        <f>SUM(L44:L45)</f>
        <v>0</v>
      </c>
      <c r="N46" s="47"/>
      <c r="O46" s="48"/>
      <c r="P46" s="44"/>
      <c r="Q46" s="47"/>
      <c r="R46" s="48"/>
      <c r="S46" s="58"/>
      <c r="T46" s="47"/>
      <c r="U46" s="48"/>
    </row>
    <row r="47" spans="1:24" ht="15.75" customHeight="1" x14ac:dyDescent="0.2">
      <c r="A47" s="2"/>
      <c r="B47" s="22" t="s">
        <v>14</v>
      </c>
      <c r="C47" s="19">
        <v>50</v>
      </c>
      <c r="D47" s="19">
        <f>O60</f>
        <v>0</v>
      </c>
      <c r="E47" s="20">
        <f>Table72448607284961087142135[Projected Cost]-Table72448607284961087142135[Actual Cost]</f>
        <v>50</v>
      </c>
      <c r="F47" s="67"/>
      <c r="N47" s="47"/>
      <c r="O47" s="48"/>
      <c r="P47" s="44"/>
      <c r="Q47" s="47"/>
      <c r="R47" s="48"/>
      <c r="S47" s="58"/>
      <c r="T47" s="47"/>
      <c r="U47" s="48"/>
    </row>
    <row r="48" spans="1:24" ht="15.75" customHeight="1" thickBot="1" x14ac:dyDescent="0.25">
      <c r="A48" s="2"/>
      <c r="B48" s="22" t="s">
        <v>13</v>
      </c>
      <c r="C48" s="19">
        <v>50</v>
      </c>
      <c r="D48" s="19">
        <f>R64</f>
        <v>0</v>
      </c>
      <c r="E48" s="20">
        <f>Table72448607284961087142135[Projected Cost]-Table72448607284961087142135[Actual Cost]</f>
        <v>50</v>
      </c>
      <c r="F48" s="67"/>
      <c r="N48" s="47"/>
      <c r="O48" s="48"/>
      <c r="P48" s="44"/>
      <c r="Q48" s="47"/>
      <c r="R48" s="48"/>
      <c r="S48" s="58"/>
      <c r="T48" s="47"/>
      <c r="U48" s="48"/>
    </row>
    <row r="49" spans="1:24" ht="15.75" customHeight="1" thickBot="1" x14ac:dyDescent="0.25">
      <c r="A49" s="2"/>
      <c r="B49" s="22" t="s">
        <v>49</v>
      </c>
      <c r="C49" s="19">
        <v>40</v>
      </c>
      <c r="D49" s="19">
        <f>U60</f>
        <v>0</v>
      </c>
      <c r="E49" s="20">
        <f>Table72448607284961087142135[Projected Cost]-Table72448607284961087142135[Actual Cost]</f>
        <v>40</v>
      </c>
      <c r="F49" s="67"/>
      <c r="N49" s="47"/>
      <c r="O49" s="48"/>
      <c r="P49" s="44"/>
      <c r="Q49" s="47"/>
      <c r="R49" s="48"/>
      <c r="S49" s="58"/>
      <c r="T49" s="49" t="s">
        <v>33</v>
      </c>
      <c r="U49" s="50">
        <f>SUM(U45:U48)</f>
        <v>0</v>
      </c>
    </row>
    <row r="50" spans="1:24" ht="15.75" customHeight="1" x14ac:dyDescent="0.2">
      <c r="A50" s="2"/>
      <c r="B50" s="22" t="s">
        <v>6</v>
      </c>
      <c r="C50" s="19">
        <v>20</v>
      </c>
      <c r="D50" s="19">
        <f>X64</f>
        <v>0</v>
      </c>
      <c r="E50" s="20">
        <f>Table72448607284961087142135[Projected Cost]-Table72448607284961087142135[Actual Cost]</f>
        <v>20</v>
      </c>
      <c r="F50" s="67"/>
      <c r="N50" s="47"/>
      <c r="O50" s="48"/>
      <c r="P50" s="44"/>
      <c r="Q50" s="47"/>
      <c r="R50" s="48"/>
      <c r="S50" s="58"/>
      <c r="T50" s="58"/>
      <c r="U50" s="64"/>
    </row>
    <row r="51" spans="1:24" ht="15.75" customHeight="1" x14ac:dyDescent="0.2">
      <c r="A51" s="2"/>
      <c r="B51" s="16" t="s">
        <v>33</v>
      </c>
      <c r="C51" s="19">
        <f>SUBTOTAL(109,Table72448607284961087142135[Projected Cost])</f>
        <v>180</v>
      </c>
      <c r="D51" s="19">
        <f>SUBTOTAL(109,Table72448607284961087142135[Actual Cost])</f>
        <v>0</v>
      </c>
      <c r="E51" s="21">
        <f>SUBTOTAL(109,Table72448607284961087142135[Difference])</f>
        <v>180</v>
      </c>
      <c r="F51" s="67"/>
      <c r="N51" s="47"/>
      <c r="O51" s="48"/>
      <c r="P51" s="44"/>
      <c r="Q51" s="47"/>
      <c r="R51" s="48"/>
      <c r="S51" s="58"/>
      <c r="T51" s="58"/>
      <c r="U51" s="64"/>
    </row>
    <row r="52" spans="1:24" ht="15.75" customHeight="1" thickBot="1" x14ac:dyDescent="0.25">
      <c r="A52" s="2"/>
      <c r="F52" s="67"/>
      <c r="N52" s="47"/>
      <c r="O52" s="48"/>
      <c r="P52" s="44"/>
      <c r="Q52" s="47"/>
      <c r="R52" s="48"/>
      <c r="S52" s="58"/>
      <c r="T52" s="58"/>
      <c r="U52" s="64"/>
    </row>
    <row r="53" spans="1:24" ht="15.75" customHeight="1" thickBot="1" x14ac:dyDescent="0.25">
      <c r="A53" s="2"/>
      <c r="B53" s="16" t="s">
        <v>23</v>
      </c>
      <c r="C53" s="17" t="s">
        <v>0</v>
      </c>
      <c r="D53" s="17" t="s">
        <v>1</v>
      </c>
      <c r="E53" s="18" t="s">
        <v>2</v>
      </c>
      <c r="F53" s="67"/>
      <c r="N53" s="49" t="s">
        <v>33</v>
      </c>
      <c r="O53" s="50">
        <f>SUM(O45:O52)</f>
        <v>0</v>
      </c>
      <c r="P53" s="56"/>
      <c r="Q53" s="49" t="s">
        <v>33</v>
      </c>
      <c r="R53" s="50">
        <f>SUM(R45:R52)</f>
        <v>0</v>
      </c>
      <c r="S53" s="59"/>
      <c r="T53" s="59"/>
      <c r="U53" s="65"/>
    </row>
    <row r="54" spans="1:24" ht="15.75" customHeight="1" thickBot="1" x14ac:dyDescent="0.25">
      <c r="A54" s="2"/>
      <c r="B54" s="22" t="s">
        <v>81</v>
      </c>
      <c r="C54" s="19">
        <v>50</v>
      </c>
      <c r="D54" s="19">
        <f>L72</f>
        <v>0</v>
      </c>
      <c r="E54" s="20">
        <f>Table22549617385971098152236[Projected Cost]-Table22549617385971098152236[Actual Cost]</f>
        <v>50</v>
      </c>
      <c r="F54" s="67"/>
    </row>
    <row r="55" spans="1:24" ht="15.75" customHeight="1" thickBot="1" x14ac:dyDescent="0.25">
      <c r="A55" s="2"/>
      <c r="B55" s="22" t="s">
        <v>16</v>
      </c>
      <c r="C55" s="19">
        <v>15</v>
      </c>
      <c r="D55" s="19">
        <f>O71</f>
        <v>0</v>
      </c>
      <c r="E55" s="20">
        <f>Table22549617385971098152236[Projected Cost]-Table22549617385971098152236[Actual Cost]</f>
        <v>15</v>
      </c>
      <c r="F55" s="13"/>
      <c r="K55" s="139" t="s">
        <v>75</v>
      </c>
      <c r="L55" s="140"/>
      <c r="M55" s="140"/>
      <c r="N55" s="140"/>
      <c r="O55" s="140"/>
      <c r="P55" s="140"/>
      <c r="Q55" s="140"/>
      <c r="R55" s="140"/>
      <c r="S55" s="140"/>
      <c r="T55" s="140"/>
      <c r="U55" s="140"/>
      <c r="V55" s="140"/>
      <c r="W55" s="140"/>
      <c r="X55" s="141"/>
    </row>
    <row r="56" spans="1:24" ht="15.75" customHeight="1" thickBot="1" x14ac:dyDescent="0.25">
      <c r="A56" s="2"/>
      <c r="B56" s="22" t="s">
        <v>17</v>
      </c>
      <c r="C56" s="19">
        <v>20</v>
      </c>
      <c r="D56" s="19">
        <f>R71</f>
        <v>0</v>
      </c>
      <c r="E56" s="20">
        <f>Table22549617385971098152236[Projected Cost]-Table22549617385971098152236[Actual Cost]</f>
        <v>20</v>
      </c>
      <c r="F56" s="13"/>
      <c r="K56" s="148" t="s">
        <v>12</v>
      </c>
      <c r="L56" s="149"/>
      <c r="M56" s="44"/>
      <c r="N56" s="148" t="s">
        <v>71</v>
      </c>
      <c r="O56" s="149"/>
      <c r="P56" s="44"/>
      <c r="Q56" s="142" t="s">
        <v>13</v>
      </c>
      <c r="R56" s="143"/>
      <c r="S56" s="44"/>
      <c r="T56" s="148" t="s">
        <v>49</v>
      </c>
      <c r="U56" s="149"/>
      <c r="V56" s="44"/>
      <c r="W56" s="142" t="s">
        <v>6</v>
      </c>
      <c r="X56" s="143"/>
    </row>
    <row r="57" spans="1:24" ht="15.75" customHeight="1" thickBot="1" x14ac:dyDescent="0.25">
      <c r="A57" s="2"/>
      <c r="B57" s="22" t="s">
        <v>21</v>
      </c>
      <c r="C57" s="19">
        <v>0</v>
      </c>
      <c r="D57" s="19">
        <f>U71</f>
        <v>0</v>
      </c>
      <c r="E57" s="20">
        <f>Table22549617385971098152236[Projected Cost]-Table22549617385971098152236[Actual Cost]</f>
        <v>0</v>
      </c>
      <c r="F57" s="13"/>
      <c r="K57" s="45" t="s">
        <v>38</v>
      </c>
      <c r="L57" s="46" t="s">
        <v>46</v>
      </c>
      <c r="M57" s="44"/>
      <c r="N57" s="45" t="s">
        <v>38</v>
      </c>
      <c r="O57" s="46" t="s">
        <v>46</v>
      </c>
      <c r="P57" s="44"/>
      <c r="Q57" s="45" t="s">
        <v>38</v>
      </c>
      <c r="R57" s="46" t="s">
        <v>46</v>
      </c>
      <c r="S57" s="44"/>
      <c r="T57" s="45" t="s">
        <v>38</v>
      </c>
      <c r="U57" s="46" t="s">
        <v>46</v>
      </c>
      <c r="V57" s="44"/>
      <c r="W57" s="45" t="s">
        <v>38</v>
      </c>
      <c r="X57" s="46" t="s">
        <v>46</v>
      </c>
    </row>
    <row r="58" spans="1:24" ht="15.75" customHeight="1" x14ac:dyDescent="0.2">
      <c r="A58" s="2"/>
      <c r="B58" s="22" t="s">
        <v>6</v>
      </c>
      <c r="C58" s="19">
        <v>100</v>
      </c>
      <c r="D58" s="19">
        <f>X75</f>
        <v>0</v>
      </c>
      <c r="E58" s="20">
        <f>Table22549617385971098152236[Projected Cost]-Table22549617385971098152236[Actual Cost]</f>
        <v>100</v>
      </c>
      <c r="F58" s="13"/>
      <c r="K58" s="47" t="s">
        <v>82</v>
      </c>
      <c r="L58" s="48"/>
      <c r="M58" s="44"/>
      <c r="N58" s="47" t="s">
        <v>73</v>
      </c>
      <c r="O58" s="48"/>
      <c r="P58" s="44"/>
      <c r="Q58" s="47" t="s">
        <v>74</v>
      </c>
      <c r="R58" s="48"/>
      <c r="S58" s="44"/>
      <c r="T58" s="47" t="s">
        <v>49</v>
      </c>
      <c r="U58" s="48"/>
      <c r="V58" s="44"/>
      <c r="W58" s="47"/>
      <c r="X58" s="48"/>
    </row>
    <row r="59" spans="1:24" ht="15.75" customHeight="1" thickBot="1" x14ac:dyDescent="0.25">
      <c r="A59" s="2"/>
      <c r="B59" s="16" t="s">
        <v>33</v>
      </c>
      <c r="C59" s="77">
        <f>SUBTOTAL(109,Table22549617385971098152236[Projected Cost])</f>
        <v>185</v>
      </c>
      <c r="D59" s="19">
        <f>SUBTOTAL(109,Table22549617385971098152236[Actual Cost])</f>
        <v>0</v>
      </c>
      <c r="E59" s="21">
        <f>SUBTOTAL(109,Table22549617385971098152236[Difference])</f>
        <v>185</v>
      </c>
      <c r="F59" s="13"/>
      <c r="K59" s="47"/>
      <c r="L59" s="48"/>
      <c r="M59" s="44"/>
      <c r="N59" s="47"/>
      <c r="O59" s="48"/>
      <c r="P59" s="44"/>
      <c r="Q59" s="47"/>
      <c r="R59" s="48"/>
      <c r="S59" s="44"/>
      <c r="T59" s="47"/>
      <c r="U59" s="48"/>
      <c r="V59" s="44"/>
      <c r="W59" s="47"/>
      <c r="X59" s="48"/>
    </row>
    <row r="60" spans="1:24" ht="15.75" customHeight="1" thickBot="1" x14ac:dyDescent="0.25">
      <c r="A60" s="2"/>
      <c r="F60" s="13"/>
      <c r="K60" s="47"/>
      <c r="L60" s="48"/>
      <c r="M60" s="44"/>
      <c r="N60" s="49" t="s">
        <v>33</v>
      </c>
      <c r="O60" s="50">
        <f>SUM(O58:O59)</f>
        <v>0</v>
      </c>
      <c r="P60" s="44"/>
      <c r="Q60" s="47"/>
      <c r="R60" s="48"/>
      <c r="S60" s="44"/>
      <c r="T60" s="49" t="s">
        <v>33</v>
      </c>
      <c r="U60" s="50">
        <f>SUM(U58:U59)</f>
        <v>0</v>
      </c>
      <c r="V60" s="44"/>
      <c r="W60" s="47"/>
      <c r="X60" s="48"/>
    </row>
    <row r="61" spans="1:24" ht="15.75" customHeight="1" thickBot="1" x14ac:dyDescent="0.25">
      <c r="A61" s="2"/>
      <c r="F61" s="13"/>
      <c r="K61" s="49" t="s">
        <v>33</v>
      </c>
      <c r="L61" s="50">
        <f>SUM(L58:L60)</f>
        <v>0</v>
      </c>
      <c r="M61" s="44"/>
      <c r="N61" s="58"/>
      <c r="O61" s="58"/>
      <c r="P61" s="44"/>
      <c r="Q61" s="47"/>
      <c r="R61" s="48"/>
      <c r="S61" s="44"/>
      <c r="T61" s="58"/>
      <c r="U61" s="58"/>
      <c r="V61" s="44"/>
      <c r="W61" s="47"/>
      <c r="X61" s="48"/>
    </row>
    <row r="62" spans="1:24" ht="15.75" customHeight="1" x14ac:dyDescent="0.2">
      <c r="B62" s="102" t="s">
        <v>30</v>
      </c>
      <c r="C62" s="102"/>
      <c r="D62" s="102"/>
      <c r="E62" s="117">
        <f>SUM(C17,C25,C33,C37,C43,C51,C59)</f>
        <v>1090</v>
      </c>
      <c r="K62" s="62"/>
      <c r="L62" s="58"/>
      <c r="M62" s="44"/>
      <c r="N62" s="58"/>
      <c r="O62" s="58"/>
      <c r="P62" s="44"/>
      <c r="Q62" s="47"/>
      <c r="R62" s="48"/>
      <c r="S62" s="44"/>
      <c r="T62" s="58"/>
      <c r="U62" s="58"/>
      <c r="V62" s="44"/>
      <c r="W62" s="47"/>
      <c r="X62" s="48"/>
    </row>
    <row r="63" spans="1:24" ht="13.5" thickBot="1" x14ac:dyDescent="0.25">
      <c r="B63" s="102"/>
      <c r="C63" s="102"/>
      <c r="D63" s="102"/>
      <c r="E63" s="117"/>
      <c r="J63" s="58"/>
      <c r="K63" s="62"/>
      <c r="L63" s="58"/>
      <c r="M63" s="44"/>
      <c r="N63" s="58"/>
      <c r="O63" s="58"/>
      <c r="P63" s="44"/>
      <c r="Q63" s="47"/>
      <c r="R63" s="48"/>
      <c r="S63" s="44"/>
      <c r="T63" s="58"/>
      <c r="U63" s="58"/>
      <c r="V63" s="44"/>
      <c r="W63" s="47"/>
      <c r="X63" s="48"/>
    </row>
    <row r="64" spans="1:24" ht="13.5" thickBot="1" x14ac:dyDescent="0.25">
      <c r="B64" s="102" t="s">
        <v>31</v>
      </c>
      <c r="C64" s="102"/>
      <c r="D64" s="102"/>
      <c r="E64" s="117">
        <f>SUM(D17,D25,D33,D37,D43,D51,D59)</f>
        <v>0</v>
      </c>
      <c r="J64" s="58"/>
      <c r="K64" s="63"/>
      <c r="L64" s="59"/>
      <c r="M64" s="56"/>
      <c r="N64" s="59"/>
      <c r="O64" s="59"/>
      <c r="P64" s="56"/>
      <c r="Q64" s="49" t="s">
        <v>33</v>
      </c>
      <c r="R64" s="50">
        <f>SUM(R58:R63)</f>
        <v>0</v>
      </c>
      <c r="S64" s="56"/>
      <c r="T64" s="59"/>
      <c r="U64" s="59"/>
      <c r="V64" s="56"/>
      <c r="W64" s="49" t="s">
        <v>33</v>
      </c>
      <c r="X64" s="50">
        <f>SUM(X58:X63)</f>
        <v>0</v>
      </c>
    </row>
    <row r="65" spans="2:24" ht="13.5" thickBot="1" x14ac:dyDescent="0.25">
      <c r="B65" s="102"/>
      <c r="C65" s="102"/>
      <c r="D65" s="102"/>
      <c r="E65" s="117"/>
      <c r="J65" s="58"/>
      <c r="K65" s="58"/>
      <c r="L65" s="58"/>
      <c r="M65" s="58"/>
      <c r="N65" s="58"/>
      <c r="O65" s="58"/>
      <c r="P65" s="58"/>
      <c r="S65" s="58"/>
      <c r="T65" s="58"/>
      <c r="U65" s="58"/>
      <c r="V65" s="58"/>
    </row>
    <row r="66" spans="2:24" ht="13.5" thickBot="1" x14ac:dyDescent="0.25">
      <c r="B66" s="102" t="s">
        <v>32</v>
      </c>
      <c r="C66" s="102"/>
      <c r="D66" s="102"/>
      <c r="E66" s="117">
        <f>SUM(E17,E25,E33,E37,E43,E51,E59)</f>
        <v>1090</v>
      </c>
      <c r="J66" s="58"/>
      <c r="K66" s="139" t="s">
        <v>76</v>
      </c>
      <c r="L66" s="140"/>
      <c r="M66" s="140"/>
      <c r="N66" s="140"/>
      <c r="O66" s="140"/>
      <c r="P66" s="140"/>
      <c r="Q66" s="140"/>
      <c r="R66" s="140"/>
      <c r="S66" s="140"/>
      <c r="T66" s="140"/>
      <c r="U66" s="140"/>
      <c r="V66" s="140"/>
      <c r="W66" s="140"/>
      <c r="X66" s="141"/>
    </row>
    <row r="67" spans="2:24" ht="13.5" thickBot="1" x14ac:dyDescent="0.25">
      <c r="B67" s="102"/>
      <c r="C67" s="102"/>
      <c r="D67" s="102"/>
      <c r="E67" s="117"/>
      <c r="J67" s="58"/>
      <c r="K67" s="148" t="s">
        <v>41</v>
      </c>
      <c r="L67" s="149"/>
      <c r="M67" s="44"/>
      <c r="N67" s="148" t="s">
        <v>16</v>
      </c>
      <c r="O67" s="149"/>
      <c r="P67" s="44"/>
      <c r="Q67" s="142" t="s">
        <v>17</v>
      </c>
      <c r="R67" s="143"/>
      <c r="S67" s="44"/>
      <c r="T67" s="148" t="s">
        <v>77</v>
      </c>
      <c r="U67" s="149"/>
      <c r="V67" s="44"/>
      <c r="W67" s="142" t="s">
        <v>6</v>
      </c>
      <c r="X67" s="143"/>
    </row>
    <row r="68" spans="2:24" ht="13.5" thickBot="1" x14ac:dyDescent="0.25">
      <c r="J68" s="58"/>
      <c r="K68" s="45" t="s">
        <v>38</v>
      </c>
      <c r="L68" s="46" t="s">
        <v>46</v>
      </c>
      <c r="M68" s="44"/>
      <c r="N68" s="45" t="s">
        <v>38</v>
      </c>
      <c r="O68" s="46" t="s">
        <v>46</v>
      </c>
      <c r="P68" s="44"/>
      <c r="Q68" s="45" t="s">
        <v>38</v>
      </c>
      <c r="R68" s="46" t="s">
        <v>46</v>
      </c>
      <c r="S68" s="44"/>
      <c r="T68" s="45" t="s">
        <v>38</v>
      </c>
      <c r="U68" s="46" t="s">
        <v>46</v>
      </c>
      <c r="V68" s="44"/>
      <c r="W68" s="45" t="s">
        <v>38</v>
      </c>
      <c r="X68" s="46" t="s">
        <v>46</v>
      </c>
    </row>
    <row r="69" spans="2:24" x14ac:dyDescent="0.2">
      <c r="J69" s="58"/>
      <c r="K69" s="47" t="s">
        <v>72</v>
      </c>
      <c r="L69" s="48"/>
      <c r="M69" s="44"/>
      <c r="N69" s="47" t="s">
        <v>43</v>
      </c>
      <c r="O69" s="48"/>
      <c r="P69" s="44"/>
      <c r="Q69" s="47" t="s">
        <v>78</v>
      </c>
      <c r="R69" s="48"/>
      <c r="S69" s="44"/>
      <c r="T69" s="47" t="s">
        <v>79</v>
      </c>
      <c r="U69" s="48"/>
      <c r="V69" s="44"/>
      <c r="W69" s="47"/>
      <c r="X69" s="48"/>
    </row>
    <row r="70" spans="2:24" ht="13.5" thickBot="1" x14ac:dyDescent="0.25">
      <c r="K70" s="47"/>
      <c r="L70" s="48"/>
      <c r="M70" s="44"/>
      <c r="N70" s="47"/>
      <c r="O70" s="48"/>
      <c r="P70" s="44"/>
      <c r="Q70" s="47"/>
      <c r="R70" s="48"/>
      <c r="S70" s="44"/>
      <c r="T70" s="47"/>
      <c r="U70" s="48"/>
      <c r="V70" s="44"/>
      <c r="W70" s="47"/>
      <c r="X70" s="48"/>
    </row>
    <row r="71" spans="2:24" ht="13.5" thickBot="1" x14ac:dyDescent="0.25">
      <c r="K71" s="47"/>
      <c r="L71" s="48"/>
      <c r="M71" s="44"/>
      <c r="N71" s="49" t="s">
        <v>33</v>
      </c>
      <c r="O71" s="50">
        <f>SUM(O69:O70)</f>
        <v>0</v>
      </c>
      <c r="P71" s="44"/>
      <c r="Q71" s="49" t="s">
        <v>33</v>
      </c>
      <c r="R71" s="50">
        <f>SUM(R69:R70)</f>
        <v>0</v>
      </c>
      <c r="S71" s="44"/>
      <c r="T71" s="49" t="s">
        <v>33</v>
      </c>
      <c r="U71" s="50">
        <f>SUM(U69:U70)</f>
        <v>0</v>
      </c>
      <c r="V71" s="44"/>
      <c r="W71" s="47"/>
      <c r="X71" s="48"/>
    </row>
    <row r="72" spans="2:24" ht="13.5" thickBot="1" x14ac:dyDescent="0.25">
      <c r="K72" s="49" t="s">
        <v>33</v>
      </c>
      <c r="L72" s="50">
        <f>SUM(L69:L71)</f>
        <v>0</v>
      </c>
      <c r="M72" s="44"/>
      <c r="N72" s="58"/>
      <c r="O72" s="58"/>
      <c r="P72" s="44"/>
      <c r="Q72" s="58"/>
      <c r="R72" s="58"/>
      <c r="S72" s="44"/>
      <c r="T72" s="58"/>
      <c r="U72" s="58"/>
      <c r="V72" s="44"/>
      <c r="W72" s="47"/>
      <c r="X72" s="48"/>
    </row>
    <row r="73" spans="2:24" x14ac:dyDescent="0.2">
      <c r="K73" s="62"/>
      <c r="L73" s="58"/>
      <c r="M73" s="44"/>
      <c r="N73" s="58"/>
      <c r="O73" s="58"/>
      <c r="P73" s="44"/>
      <c r="Q73" s="58"/>
      <c r="R73" s="58"/>
      <c r="S73" s="44"/>
      <c r="T73" s="58"/>
      <c r="U73" s="58"/>
      <c r="V73" s="44"/>
      <c r="W73" s="47"/>
      <c r="X73" s="48"/>
    </row>
    <row r="74" spans="2:24" ht="13.5" thickBot="1" x14ac:dyDescent="0.25">
      <c r="K74" s="62"/>
      <c r="L74" s="58"/>
      <c r="M74" s="44"/>
      <c r="N74" s="58"/>
      <c r="O74" s="58"/>
      <c r="P74" s="44"/>
      <c r="Q74" s="58"/>
      <c r="R74" s="58"/>
      <c r="S74" s="44"/>
      <c r="T74" s="58"/>
      <c r="U74" s="58"/>
      <c r="V74" s="44"/>
      <c r="W74" s="47"/>
      <c r="X74" s="48"/>
    </row>
    <row r="75" spans="2:24" ht="13.5" thickBot="1" x14ac:dyDescent="0.25">
      <c r="K75" s="63"/>
      <c r="L75" s="59"/>
      <c r="M75" s="56"/>
      <c r="N75" s="59"/>
      <c r="O75" s="59"/>
      <c r="P75" s="56"/>
      <c r="Q75" s="59"/>
      <c r="R75" s="59"/>
      <c r="S75" s="56"/>
      <c r="T75" s="59"/>
      <c r="U75" s="59"/>
      <c r="V75" s="56"/>
      <c r="W75" s="49" t="s">
        <v>33</v>
      </c>
      <c r="X75" s="50">
        <f>SUM(X69:X74)</f>
        <v>0</v>
      </c>
    </row>
  </sheetData>
  <mergeCells count="64">
    <mergeCell ref="K66:X66"/>
    <mergeCell ref="K67:L67"/>
    <mergeCell ref="N67:O67"/>
    <mergeCell ref="Q67:R67"/>
    <mergeCell ref="T67:U67"/>
    <mergeCell ref="W67:X67"/>
    <mergeCell ref="B62:D63"/>
    <mergeCell ref="E62:E63"/>
    <mergeCell ref="B64:D65"/>
    <mergeCell ref="E64:E65"/>
    <mergeCell ref="B66:D67"/>
    <mergeCell ref="E66:E67"/>
    <mergeCell ref="B44:E44"/>
    <mergeCell ref="K55:X55"/>
    <mergeCell ref="K56:L56"/>
    <mergeCell ref="N56:O56"/>
    <mergeCell ref="Q56:R56"/>
    <mergeCell ref="T56:U56"/>
    <mergeCell ref="W56:X56"/>
    <mergeCell ref="B34:E34"/>
    <mergeCell ref="B38:E38"/>
    <mergeCell ref="K42:L42"/>
    <mergeCell ref="N42:U42"/>
    <mergeCell ref="N43:O43"/>
    <mergeCell ref="Q43:R43"/>
    <mergeCell ref="T43:U43"/>
    <mergeCell ref="B26:E26"/>
    <mergeCell ref="K31:X31"/>
    <mergeCell ref="K32:L32"/>
    <mergeCell ref="N32:O32"/>
    <mergeCell ref="Q32:R32"/>
    <mergeCell ref="T32:U32"/>
    <mergeCell ref="W32:X32"/>
    <mergeCell ref="K24:X24"/>
    <mergeCell ref="K25:L25"/>
    <mergeCell ref="N25:O25"/>
    <mergeCell ref="Q25:R25"/>
    <mergeCell ref="T25:U25"/>
    <mergeCell ref="W25:X25"/>
    <mergeCell ref="H11:I11"/>
    <mergeCell ref="K11:X11"/>
    <mergeCell ref="K12:L12"/>
    <mergeCell ref="N12:O12"/>
    <mergeCell ref="Q12:R12"/>
    <mergeCell ref="T12:U12"/>
    <mergeCell ref="W12:X12"/>
    <mergeCell ref="B7:B9"/>
    <mergeCell ref="C7:D7"/>
    <mergeCell ref="C8:D8"/>
    <mergeCell ref="G8:K9"/>
    <mergeCell ref="L8:L9"/>
    <mergeCell ref="C9:D9"/>
    <mergeCell ref="Q5:R5"/>
    <mergeCell ref="T5:U5"/>
    <mergeCell ref="W5:X5"/>
    <mergeCell ref="C6:D6"/>
    <mergeCell ref="G6:K7"/>
    <mergeCell ref="L6:L7"/>
    <mergeCell ref="B3:D3"/>
    <mergeCell ref="B4:B6"/>
    <mergeCell ref="C4:D4"/>
    <mergeCell ref="G4:K5"/>
    <mergeCell ref="L4:L5"/>
    <mergeCell ref="C5:D5"/>
  </mergeCells>
  <conditionalFormatting sqref="E54:E59 E28:E33 E20:E25 E36:E37 E40:E43 E46:E51">
    <cfRule type="iconSet" priority="2">
      <iconSet iconSet="3Signs">
        <cfvo type="percent" val="0"/>
        <cfvo type="num" val="-20"/>
        <cfvo type="num" val="0"/>
      </iconSet>
    </cfRule>
  </conditionalFormatting>
  <conditionalFormatting sqref="E12:E18">
    <cfRule type="iconSet" priority="1">
      <iconSet iconSet="3Signs">
        <cfvo type="percent" val="0"/>
        <cfvo type="num" val="-20"/>
        <cfvo type="num" val="0"/>
      </iconSet>
    </cfRule>
  </conditionalFormatting>
  <pageMargins left="0.5" right="0.5" top="0.5" bottom="0.5" header="0.5" footer="0.5"/>
  <pageSetup orientation="portrait" r:id="rId1"/>
  <headerFooter alignWithMargins="0"/>
  <ignoredErrors>
    <ignoredError sqref="D28:D32 D40:D42 D46:D50" calculatedColumn="1"/>
  </ignoredErrors>
  <drawing r:id="rId2"/>
  <tableParts count="7">
    <tablePart r:id="rId3"/>
    <tablePart r:id="rId4"/>
    <tablePart r:id="rId5"/>
    <tablePart r:id="rId6"/>
    <tablePart r:id="rId7"/>
    <tablePart r:id="rId8"/>
    <tablePart r:id="rId9"/>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F75"/>
  <sheetViews>
    <sheetView showGridLines="0" workbookViewId="0">
      <pane ySplit="2" topLeftCell="A3" activePane="bottomLeft" state="frozen"/>
      <selection pane="bottomLeft" activeCell="K12" sqref="K12:L12"/>
    </sheetView>
  </sheetViews>
  <sheetFormatPr defaultColWidth="8.7109375" defaultRowHeight="12.75" x14ac:dyDescent="0.2"/>
  <cols>
    <col min="1" max="1" width="1.5703125" customWidth="1"/>
    <col min="2" max="2" width="32.28515625" customWidth="1"/>
    <col min="3" max="3" width="16.42578125" customWidth="1"/>
    <col min="4" max="4" width="13.42578125" customWidth="1"/>
    <col min="5" max="5" width="12.42578125" customWidth="1"/>
    <col min="6" max="6" width="2" customWidth="1"/>
    <col min="7" max="7" width="5.7109375" customWidth="1"/>
    <col min="8" max="8" width="11.42578125" bestFit="1" customWidth="1"/>
    <col min="9" max="9" width="7.42578125" bestFit="1" customWidth="1"/>
    <col min="10" max="10" width="6.5703125" customWidth="1"/>
    <col min="11" max="11" width="13.42578125" customWidth="1"/>
    <col min="12" max="12" width="12.42578125" customWidth="1"/>
    <col min="13" max="13" width="3.28515625" customWidth="1"/>
    <col min="14" max="14" width="11.5703125" bestFit="1" customWidth="1"/>
    <col min="15" max="15" width="7.42578125" bestFit="1" customWidth="1"/>
    <col min="16" max="16" width="2.7109375" customWidth="1"/>
    <col min="17" max="17" width="9.5703125" bestFit="1" customWidth="1"/>
    <col min="18" max="18" width="7.42578125" bestFit="1" customWidth="1"/>
    <col min="19" max="19" width="4.28515625" customWidth="1"/>
    <col min="20" max="20" width="11.42578125" bestFit="1" customWidth="1"/>
    <col min="21" max="21" width="7.42578125" bestFit="1" customWidth="1"/>
    <col min="22" max="22" width="3.7109375" customWidth="1"/>
    <col min="23" max="23" width="14.5703125" bestFit="1" customWidth="1"/>
    <col min="24" max="24" width="7.42578125" bestFit="1" customWidth="1"/>
  </cols>
  <sheetData>
    <row r="1" spans="1:32" ht="8.25" customHeight="1" x14ac:dyDescent="0.6">
      <c r="A1" s="3"/>
      <c r="B1" s="1"/>
      <c r="C1" s="1"/>
      <c r="D1" s="1"/>
      <c r="E1" s="1"/>
      <c r="F1" s="1"/>
      <c r="G1" s="1"/>
      <c r="H1" s="1"/>
      <c r="I1" s="1"/>
      <c r="J1" s="1"/>
      <c r="K1" s="1"/>
      <c r="L1" s="2"/>
    </row>
    <row r="2" spans="1:32" ht="52.15" customHeight="1" x14ac:dyDescent="0.2">
      <c r="A2" s="3"/>
      <c r="B2" s="35"/>
      <c r="C2" s="69" t="str">
        <f>("-  March Monthly Budget")</f>
        <v>-  March Monthly Budget</v>
      </c>
      <c r="E2" s="35"/>
      <c r="F2" s="35"/>
      <c r="G2" s="35"/>
      <c r="H2" s="35"/>
      <c r="I2" s="35"/>
      <c r="J2" s="35"/>
      <c r="K2" s="35"/>
      <c r="L2" s="35"/>
    </row>
    <row r="3" spans="1:32" ht="8.25" customHeight="1" x14ac:dyDescent="0.2">
      <c r="A3" s="2"/>
      <c r="B3" s="98"/>
      <c r="C3" s="98"/>
      <c r="D3" s="98"/>
      <c r="E3" s="4"/>
      <c r="F3" s="5"/>
      <c r="G3" s="4"/>
      <c r="H3" s="6"/>
      <c r="I3" s="6"/>
      <c r="J3" s="6"/>
      <c r="K3" s="7"/>
      <c r="L3" s="8"/>
    </row>
    <row r="4" spans="1:32" ht="16.149999999999999" customHeight="1" x14ac:dyDescent="0.2">
      <c r="A4" s="2"/>
      <c r="B4" s="114" t="s">
        <v>29</v>
      </c>
      <c r="C4" s="105" t="s">
        <v>3</v>
      </c>
      <c r="D4" s="106"/>
      <c r="E4" s="15">
        <f>'Starting Page'!I31</f>
        <v>300</v>
      </c>
      <c r="F4" s="5"/>
      <c r="G4" s="102" t="s">
        <v>34</v>
      </c>
      <c r="H4" s="102"/>
      <c r="I4" s="102"/>
      <c r="J4" s="102"/>
      <c r="K4" s="102"/>
      <c r="L4" s="117">
        <f>E6-E62</f>
        <v>-790</v>
      </c>
      <c r="Y4" s="23"/>
      <c r="Z4" s="23"/>
      <c r="AA4" s="23"/>
      <c r="AB4" s="23"/>
      <c r="AC4" s="23"/>
      <c r="AD4" s="23"/>
      <c r="AE4" s="23"/>
      <c r="AF4" s="23"/>
    </row>
    <row r="5" spans="1:32" ht="16.149999999999999" customHeight="1" x14ac:dyDescent="0.2">
      <c r="A5" s="2"/>
      <c r="B5" s="115"/>
      <c r="C5" s="105" t="s">
        <v>18</v>
      </c>
      <c r="D5" s="106"/>
      <c r="E5" s="15"/>
      <c r="F5" s="5"/>
      <c r="G5" s="102"/>
      <c r="H5" s="102"/>
      <c r="I5" s="102"/>
      <c r="J5" s="102"/>
      <c r="K5" s="102"/>
      <c r="L5" s="117"/>
      <c r="Q5" s="99"/>
      <c r="R5" s="99"/>
      <c r="S5" s="44"/>
      <c r="T5" s="99"/>
      <c r="U5" s="99"/>
      <c r="V5" s="44"/>
      <c r="W5" s="99"/>
      <c r="X5" s="99"/>
      <c r="Y5" s="44"/>
      <c r="Z5" s="23"/>
      <c r="AA5" s="23"/>
      <c r="AB5" s="23"/>
      <c r="AC5" s="23"/>
      <c r="AD5" s="23"/>
      <c r="AE5" s="23"/>
      <c r="AF5" s="23"/>
    </row>
    <row r="6" spans="1:32" ht="16.149999999999999" customHeight="1" x14ac:dyDescent="0.2">
      <c r="A6" s="2"/>
      <c r="B6" s="116"/>
      <c r="C6" s="100" t="s">
        <v>19</v>
      </c>
      <c r="D6" s="101"/>
      <c r="E6" s="66">
        <f>SUM(E4:E5)</f>
        <v>300</v>
      </c>
      <c r="F6" s="5"/>
      <c r="G6" s="102" t="s">
        <v>35</v>
      </c>
      <c r="H6" s="102"/>
      <c r="I6" s="102"/>
      <c r="J6" s="102"/>
      <c r="K6" s="102"/>
      <c r="L6" s="117">
        <f>E9-E64</f>
        <v>0</v>
      </c>
      <c r="Q6" s="44"/>
      <c r="R6" s="44"/>
      <c r="S6" s="44"/>
      <c r="T6" s="44"/>
      <c r="U6" s="44"/>
      <c r="V6" s="44"/>
      <c r="W6" s="44"/>
      <c r="X6" s="44"/>
      <c r="Y6" s="44"/>
      <c r="Z6" s="23"/>
      <c r="AA6" s="23"/>
      <c r="AB6" s="23"/>
      <c r="AC6" s="23"/>
      <c r="AD6" s="23"/>
      <c r="AE6" s="23"/>
      <c r="AF6" s="23"/>
    </row>
    <row r="7" spans="1:32" ht="16.149999999999999" customHeight="1" x14ac:dyDescent="0.2">
      <c r="A7" s="2"/>
      <c r="B7" s="114" t="s">
        <v>28</v>
      </c>
      <c r="C7" s="105" t="s">
        <v>3</v>
      </c>
      <c r="D7" s="106"/>
      <c r="E7" s="15">
        <f>I23</f>
        <v>0</v>
      </c>
      <c r="F7" s="5"/>
      <c r="G7" s="102"/>
      <c r="H7" s="102"/>
      <c r="I7" s="102"/>
      <c r="J7" s="102"/>
      <c r="K7" s="102"/>
      <c r="L7" s="117"/>
      <c r="P7" s="34"/>
      <c r="Q7" s="44"/>
      <c r="R7" s="44"/>
      <c r="S7" s="44"/>
      <c r="T7" s="44"/>
      <c r="U7" s="44"/>
      <c r="V7" s="44"/>
      <c r="W7" s="44"/>
      <c r="X7" s="44"/>
      <c r="Y7" s="44"/>
    </row>
    <row r="8" spans="1:32" ht="16.149999999999999" customHeight="1" x14ac:dyDescent="0.2">
      <c r="A8" s="2"/>
      <c r="B8" s="115"/>
      <c r="C8" s="105" t="s">
        <v>18</v>
      </c>
      <c r="D8" s="106"/>
      <c r="E8" s="15"/>
      <c r="F8" s="5"/>
      <c r="G8" s="102" t="s">
        <v>36</v>
      </c>
      <c r="H8" s="102"/>
      <c r="I8" s="102"/>
      <c r="J8" s="102"/>
      <c r="K8" s="102"/>
      <c r="L8" s="117">
        <f>L6-L4</f>
        <v>790</v>
      </c>
      <c r="Q8" s="44"/>
      <c r="R8" s="44"/>
      <c r="S8" s="44"/>
      <c r="T8" s="44"/>
      <c r="U8" s="44"/>
      <c r="V8" s="44"/>
      <c r="W8" s="44"/>
      <c r="X8" s="44"/>
      <c r="Y8" s="44"/>
    </row>
    <row r="9" spans="1:32" ht="16.149999999999999" customHeight="1" x14ac:dyDescent="0.2">
      <c r="A9" s="2"/>
      <c r="B9" s="116"/>
      <c r="C9" s="100" t="s">
        <v>19</v>
      </c>
      <c r="D9" s="101"/>
      <c r="E9" s="66">
        <f>SUM(E7:E8)</f>
        <v>0</v>
      </c>
      <c r="F9" s="5"/>
      <c r="G9" s="102"/>
      <c r="H9" s="102"/>
      <c r="I9" s="102"/>
      <c r="J9" s="102"/>
      <c r="K9" s="102"/>
      <c r="L9" s="117"/>
      <c r="Q9" s="60"/>
      <c r="R9" s="61"/>
      <c r="S9" s="44"/>
      <c r="T9" s="60"/>
      <c r="U9" s="61"/>
      <c r="V9" s="44"/>
      <c r="W9" s="60"/>
      <c r="X9" s="61"/>
      <c r="Y9" s="44"/>
    </row>
    <row r="10" spans="1:32" ht="16.149999999999999" customHeight="1" thickBot="1" x14ac:dyDescent="0.25">
      <c r="A10" s="2"/>
      <c r="B10" s="68"/>
      <c r="C10" s="68"/>
      <c r="D10" s="9"/>
      <c r="E10" s="10"/>
      <c r="F10" s="5"/>
      <c r="G10" s="11"/>
      <c r="H10" s="11"/>
      <c r="I10" s="11"/>
      <c r="J10" s="11"/>
      <c r="K10" s="11"/>
      <c r="L10" s="12"/>
      <c r="R10" s="23"/>
    </row>
    <row r="11" spans="1:32" ht="16.149999999999999" customHeight="1" thickBot="1" x14ac:dyDescent="0.25">
      <c r="A11" s="2"/>
      <c r="B11" s="16" t="s">
        <v>80</v>
      </c>
      <c r="C11" s="17" t="s">
        <v>0</v>
      </c>
      <c r="D11" s="17" t="s">
        <v>1</v>
      </c>
      <c r="E11" s="18" t="s">
        <v>2</v>
      </c>
      <c r="F11" s="5"/>
      <c r="G11" s="11"/>
      <c r="H11" s="92" t="s">
        <v>42</v>
      </c>
      <c r="I11" s="94"/>
      <c r="J11" s="11"/>
      <c r="K11" s="139" t="s">
        <v>104</v>
      </c>
      <c r="L11" s="140"/>
      <c r="M11" s="140"/>
      <c r="N11" s="140"/>
      <c r="O11" s="140"/>
      <c r="P11" s="140"/>
      <c r="Q11" s="140"/>
      <c r="R11" s="140"/>
      <c r="S11" s="140"/>
      <c r="T11" s="140"/>
      <c r="U11" s="140"/>
      <c r="V11" s="140"/>
      <c r="W11" s="140"/>
      <c r="X11" s="141"/>
    </row>
    <row r="12" spans="1:32" ht="16.149999999999999" customHeight="1" thickBot="1" x14ac:dyDescent="0.25">
      <c r="A12" s="2"/>
      <c r="B12" s="22" t="s">
        <v>50</v>
      </c>
      <c r="C12" s="19">
        <v>0</v>
      </c>
      <c r="D12" s="19">
        <f>L16</f>
        <v>0</v>
      </c>
      <c r="E12" s="20">
        <f>Table1143850627486982916233744[Projected Cost]-Table1143850627486982916233744[Actual Cost]</f>
        <v>0</v>
      </c>
      <c r="F12" s="5"/>
      <c r="H12" s="24" t="s">
        <v>38</v>
      </c>
      <c r="I12" s="25" t="s">
        <v>46</v>
      </c>
      <c r="J12" s="41"/>
      <c r="K12" s="148" t="s">
        <v>50</v>
      </c>
      <c r="L12" s="149"/>
      <c r="M12" s="44"/>
      <c r="N12" s="148" t="s">
        <v>51</v>
      </c>
      <c r="O12" s="149"/>
      <c r="P12" s="44"/>
      <c r="Q12" s="150" t="s">
        <v>54</v>
      </c>
      <c r="R12" s="151"/>
      <c r="S12" s="44"/>
      <c r="T12" s="148" t="s">
        <v>5</v>
      </c>
      <c r="U12" s="149"/>
      <c r="V12" s="44"/>
      <c r="W12" s="148" t="s">
        <v>6</v>
      </c>
      <c r="X12" s="149"/>
    </row>
    <row r="13" spans="1:32" ht="16.149999999999999" customHeight="1" thickBot="1" x14ac:dyDescent="0.25">
      <c r="A13" s="2"/>
      <c r="B13" s="22" t="s">
        <v>51</v>
      </c>
      <c r="C13" s="19">
        <v>0</v>
      </c>
      <c r="D13" s="19">
        <f>O16</f>
        <v>0</v>
      </c>
      <c r="E13" s="20">
        <f>Table1143850627486982916233744[Projected Cost]-Table1143850627486982916233744[Actual Cost]</f>
        <v>0</v>
      </c>
      <c r="F13" s="5"/>
      <c r="H13" s="26" t="s">
        <v>44</v>
      </c>
      <c r="I13" s="27"/>
      <c r="J13" s="42"/>
      <c r="K13" s="45" t="s">
        <v>38</v>
      </c>
      <c r="L13" s="46" t="s">
        <v>46</v>
      </c>
      <c r="M13" s="44"/>
      <c r="N13" s="45" t="s">
        <v>38</v>
      </c>
      <c r="O13" s="46" t="s">
        <v>46</v>
      </c>
      <c r="P13" s="44"/>
      <c r="Q13" s="45" t="s">
        <v>38</v>
      </c>
      <c r="R13" s="46" t="s">
        <v>46</v>
      </c>
      <c r="S13" s="44"/>
      <c r="T13" s="45" t="s">
        <v>38</v>
      </c>
      <c r="U13" s="46" t="s">
        <v>46</v>
      </c>
      <c r="V13" s="44"/>
      <c r="W13" s="45" t="s">
        <v>38</v>
      </c>
      <c r="X13" s="46" t="s">
        <v>46</v>
      </c>
    </row>
    <row r="14" spans="1:32" ht="16.149999999999999" customHeight="1" x14ac:dyDescent="0.2">
      <c r="A14" s="2"/>
      <c r="B14" s="22" t="s">
        <v>52</v>
      </c>
      <c r="C14" s="19">
        <v>0</v>
      </c>
      <c r="D14" s="19">
        <f>R22</f>
        <v>0</v>
      </c>
      <c r="E14" s="20">
        <f>Table1143850627486982916233744[Projected Cost]-Table1143850627486982916233744[Actual Cost]</f>
        <v>0</v>
      </c>
      <c r="F14" s="5"/>
      <c r="H14" s="26"/>
      <c r="I14" s="27"/>
      <c r="J14" s="42"/>
      <c r="K14" s="47" t="s">
        <v>53</v>
      </c>
      <c r="L14" s="48"/>
      <c r="M14" s="44"/>
      <c r="N14" s="47" t="s">
        <v>56</v>
      </c>
      <c r="O14" s="48"/>
      <c r="P14" s="44"/>
      <c r="Q14" s="47" t="s">
        <v>55</v>
      </c>
      <c r="R14" s="48"/>
      <c r="S14" s="44"/>
      <c r="T14" s="47" t="s">
        <v>57</v>
      </c>
      <c r="U14" s="48"/>
      <c r="V14" s="44"/>
      <c r="W14" s="47"/>
      <c r="X14" s="48"/>
    </row>
    <row r="15" spans="1:32" ht="16.149999999999999" customHeight="1" thickBot="1" x14ac:dyDescent="0.25">
      <c r="A15" s="2"/>
      <c r="B15" s="22" t="s">
        <v>5</v>
      </c>
      <c r="C15" s="19">
        <v>50</v>
      </c>
      <c r="D15" s="19">
        <f>U22</f>
        <v>0</v>
      </c>
      <c r="E15" s="20">
        <f>Table1143850627486982916233744[Projected Cost]-Table1143850627486982916233744[Actual Cost]</f>
        <v>50</v>
      </c>
      <c r="F15" s="5"/>
      <c r="H15" s="26"/>
      <c r="I15" s="27"/>
      <c r="J15" s="42"/>
      <c r="K15" s="47"/>
      <c r="L15" s="48"/>
      <c r="M15" s="44"/>
      <c r="N15" s="47"/>
      <c r="O15" s="48"/>
      <c r="P15" s="44"/>
      <c r="Q15" s="47"/>
      <c r="R15" s="48"/>
      <c r="S15" s="44"/>
      <c r="T15" s="47"/>
      <c r="U15" s="48"/>
      <c r="V15" s="44"/>
      <c r="W15" s="47"/>
      <c r="X15" s="48"/>
    </row>
    <row r="16" spans="1:32" ht="16.149999999999999" customHeight="1" thickBot="1" x14ac:dyDescent="0.25">
      <c r="A16" s="2"/>
      <c r="B16" s="22" t="s">
        <v>6</v>
      </c>
      <c r="C16" s="19">
        <v>50</v>
      </c>
      <c r="D16" s="19">
        <f>X18</f>
        <v>0</v>
      </c>
      <c r="E16" s="20">
        <f>Table1143850627486982916233744[Projected Cost]-Table1143850627486982916233744[Actual Cost]</f>
        <v>50</v>
      </c>
      <c r="F16" s="5"/>
      <c r="H16" s="26"/>
      <c r="I16" s="27"/>
      <c r="J16" s="42"/>
      <c r="K16" s="49" t="s">
        <v>33</v>
      </c>
      <c r="L16" s="50">
        <f>SUM(L14:L15)</f>
        <v>0</v>
      </c>
      <c r="M16" s="44"/>
      <c r="N16" s="49" t="s">
        <v>33</v>
      </c>
      <c r="O16" s="50">
        <f>SUM(O14:O15)</f>
        <v>0</v>
      </c>
      <c r="P16" s="44"/>
      <c r="Q16" s="47"/>
      <c r="R16" s="48"/>
      <c r="S16" s="44"/>
      <c r="T16" s="47"/>
      <c r="U16" s="48"/>
      <c r="V16" s="44"/>
      <c r="W16" s="47"/>
      <c r="X16" s="48"/>
    </row>
    <row r="17" spans="1:24" ht="16.149999999999999" customHeight="1" thickBot="1" x14ac:dyDescent="0.25">
      <c r="A17" s="2"/>
      <c r="B17" s="16" t="s">
        <v>33</v>
      </c>
      <c r="C17" s="19">
        <f>SUBTOTAL(109,Table1143850627486982916233744[Projected Cost])</f>
        <v>100</v>
      </c>
      <c r="D17" s="19">
        <f>SUBTOTAL(109,Table1143850627486982916233744[Actual Cost])</f>
        <v>0</v>
      </c>
      <c r="E17" s="21">
        <f>SUBTOTAL(109,Table1143850627486982916233744[Difference])</f>
        <v>100</v>
      </c>
      <c r="F17" s="5"/>
      <c r="H17" s="28"/>
      <c r="I17" s="29"/>
      <c r="J17" s="42"/>
      <c r="K17" s="51"/>
      <c r="L17" s="44"/>
      <c r="M17" s="44"/>
      <c r="N17" s="44"/>
      <c r="O17" s="44"/>
      <c r="P17" s="44"/>
      <c r="Q17" s="47"/>
      <c r="R17" s="48"/>
      <c r="S17" s="44"/>
      <c r="T17" s="47"/>
      <c r="U17" s="48"/>
      <c r="V17" s="44"/>
      <c r="W17" s="47"/>
      <c r="X17" s="48"/>
    </row>
    <row r="18" spans="1:24" ht="16.149999999999999" customHeight="1" thickBot="1" x14ac:dyDescent="0.25">
      <c r="A18" s="2"/>
      <c r="B18" s="16"/>
      <c r="C18" s="19"/>
      <c r="D18" s="19"/>
      <c r="E18" s="21"/>
      <c r="F18" s="5"/>
      <c r="H18" s="28"/>
      <c r="I18" s="29"/>
      <c r="J18" s="42"/>
      <c r="K18" s="52"/>
      <c r="L18" s="53"/>
      <c r="M18" s="44"/>
      <c r="N18" s="44"/>
      <c r="O18" s="44"/>
      <c r="P18" s="44"/>
      <c r="Q18" s="47"/>
      <c r="R18" s="48"/>
      <c r="S18" s="44"/>
      <c r="T18" s="47"/>
      <c r="U18" s="48"/>
      <c r="V18" s="44"/>
      <c r="W18" s="49" t="s">
        <v>33</v>
      </c>
      <c r="X18" s="50">
        <f>SUM(X14:X17)</f>
        <v>0</v>
      </c>
    </row>
    <row r="19" spans="1:24" ht="16.149999999999999" customHeight="1" x14ac:dyDescent="0.2">
      <c r="A19" s="2"/>
      <c r="B19" s="16" t="s">
        <v>22</v>
      </c>
      <c r="C19" s="17" t="s">
        <v>0</v>
      </c>
      <c r="D19" s="17" t="s">
        <v>1</v>
      </c>
      <c r="E19" s="18" t="s">
        <v>2</v>
      </c>
      <c r="F19" s="14"/>
      <c r="H19" s="28"/>
      <c r="I19" s="29"/>
      <c r="J19" s="42"/>
      <c r="K19" s="52"/>
      <c r="L19" s="53"/>
      <c r="M19" s="44"/>
      <c r="N19" s="44"/>
      <c r="O19" s="44"/>
      <c r="P19" s="44"/>
      <c r="Q19" s="47"/>
      <c r="R19" s="48"/>
      <c r="S19" s="44"/>
      <c r="T19" s="47"/>
      <c r="U19" s="48"/>
      <c r="V19" s="44"/>
      <c r="W19" s="44"/>
      <c r="X19" s="54"/>
    </row>
    <row r="20" spans="1:24" ht="15.75" customHeight="1" x14ac:dyDescent="0.2">
      <c r="A20" s="2"/>
      <c r="B20" s="22" t="s">
        <v>48</v>
      </c>
      <c r="C20" s="19">
        <f>IF('Starting Page'!I24="Yes",'Starting Page'!I25/8,IF('Starting Page'!I27="Yes",'Starting Page'!I28,0))</f>
        <v>0</v>
      </c>
      <c r="D20" s="19">
        <f>L29</f>
        <v>0</v>
      </c>
      <c r="E20" s="20">
        <f>Table114385062748698310173138[Projected Cost]-Table114385062748698310173138[Actual Cost]</f>
        <v>0</v>
      </c>
      <c r="F20" s="67"/>
      <c r="H20" s="28"/>
      <c r="I20" s="29"/>
      <c r="J20" s="42"/>
      <c r="K20" s="51"/>
      <c r="L20" s="44"/>
      <c r="M20" s="44"/>
      <c r="N20" s="44"/>
      <c r="O20" s="44"/>
      <c r="P20" s="44"/>
      <c r="Q20" s="47"/>
      <c r="R20" s="48"/>
      <c r="S20" s="44"/>
      <c r="T20" s="47"/>
      <c r="U20" s="48"/>
      <c r="V20" s="44"/>
      <c r="W20" s="44"/>
      <c r="X20" s="54"/>
    </row>
    <row r="21" spans="1:24" ht="15.75" customHeight="1" thickBot="1" x14ac:dyDescent="0.25">
      <c r="A21" s="2"/>
      <c r="B21" s="22" t="s">
        <v>4</v>
      </c>
      <c r="C21" s="19">
        <v>70</v>
      </c>
      <c r="D21" s="19">
        <f>O29</f>
        <v>0</v>
      </c>
      <c r="E21" s="20">
        <f>Table114385062748698310173138[Projected Cost]-Table114385062748698310173138[Actual Cost]</f>
        <v>70</v>
      </c>
      <c r="F21" s="67"/>
      <c r="H21" s="28"/>
      <c r="I21" s="29"/>
      <c r="J21" s="42"/>
      <c r="K21" s="51"/>
      <c r="L21" s="44"/>
      <c r="M21" s="44"/>
      <c r="N21" s="44"/>
      <c r="O21" s="44"/>
      <c r="P21" s="44"/>
      <c r="Q21" s="47"/>
      <c r="R21" s="48"/>
      <c r="S21" s="44"/>
      <c r="T21" s="47"/>
      <c r="U21" s="48"/>
      <c r="V21" s="44"/>
      <c r="W21" s="44"/>
      <c r="X21" s="54"/>
    </row>
    <row r="22" spans="1:24" ht="15.75" customHeight="1" thickBot="1" x14ac:dyDescent="0.25">
      <c r="A22" s="2"/>
      <c r="B22" s="22" t="s">
        <v>47</v>
      </c>
      <c r="C22" s="19">
        <v>20</v>
      </c>
      <c r="D22" s="19">
        <f>R29</f>
        <v>0</v>
      </c>
      <c r="E22" s="20">
        <f>Table114385062748698310173138[Projected Cost]-Table114385062748698310173138[Actual Cost]</f>
        <v>20</v>
      </c>
      <c r="F22" s="67"/>
      <c r="H22" s="28"/>
      <c r="I22" s="29"/>
      <c r="J22" s="42"/>
      <c r="K22" s="55"/>
      <c r="L22" s="56"/>
      <c r="M22" s="56"/>
      <c r="N22" s="56"/>
      <c r="O22" s="56"/>
      <c r="P22" s="56"/>
      <c r="Q22" s="49" t="s">
        <v>33</v>
      </c>
      <c r="R22" s="50">
        <f>SUM(R14:R21)</f>
        <v>0</v>
      </c>
      <c r="S22" s="56"/>
      <c r="T22" s="49" t="s">
        <v>33</v>
      </c>
      <c r="U22" s="50">
        <f>SUM(U14:U21)</f>
        <v>0</v>
      </c>
      <c r="V22" s="56"/>
      <c r="W22" s="56"/>
      <c r="X22" s="57"/>
    </row>
    <row r="23" spans="1:24" ht="15.75" customHeight="1" thickBot="1" x14ac:dyDescent="0.25">
      <c r="A23" s="2"/>
      <c r="B23" s="22" t="s">
        <v>37</v>
      </c>
      <c r="C23" s="19">
        <v>20</v>
      </c>
      <c r="D23" s="19">
        <f>U29</f>
        <v>0</v>
      </c>
      <c r="E23" s="20">
        <f>Table114385062748698310173138[Projected Cost]-Table114385062748698310173138[Actual Cost]</f>
        <v>20</v>
      </c>
      <c r="F23" s="67"/>
      <c r="H23" s="36" t="s">
        <v>33</v>
      </c>
      <c r="I23" s="30">
        <f>SUM(I13:I22)</f>
        <v>0</v>
      </c>
      <c r="J23" s="42"/>
      <c r="U23" s="23"/>
    </row>
    <row r="24" spans="1:24" ht="15.75" customHeight="1" thickBot="1" x14ac:dyDescent="0.25">
      <c r="A24" s="2"/>
      <c r="B24" s="22" t="s">
        <v>6</v>
      </c>
      <c r="C24" s="19">
        <v>50</v>
      </c>
      <c r="D24" s="19">
        <f>X29</f>
        <v>0</v>
      </c>
      <c r="E24" s="20">
        <f>Table114385062748698310173138[Projected Cost]-Table114385062748698310173138[Actual Cost]</f>
        <v>50</v>
      </c>
      <c r="F24" s="67"/>
      <c r="I24" s="43"/>
      <c r="J24" s="42"/>
      <c r="K24" s="139" t="s">
        <v>58</v>
      </c>
      <c r="L24" s="140"/>
      <c r="M24" s="140"/>
      <c r="N24" s="140"/>
      <c r="O24" s="140"/>
      <c r="P24" s="140"/>
      <c r="Q24" s="140"/>
      <c r="R24" s="140"/>
      <c r="S24" s="140"/>
      <c r="T24" s="140"/>
      <c r="U24" s="140"/>
      <c r="V24" s="140"/>
      <c r="W24" s="140"/>
      <c r="X24" s="141"/>
    </row>
    <row r="25" spans="1:24" ht="15.75" customHeight="1" thickBot="1" x14ac:dyDescent="0.25">
      <c r="A25" s="2"/>
      <c r="B25" s="16" t="s">
        <v>33</v>
      </c>
      <c r="C25" s="19">
        <f>SUBTOTAL(109,Table114385062748698310173138[Projected Cost])</f>
        <v>160</v>
      </c>
      <c r="D25" s="19">
        <f>SUBTOTAL(109,Table114385062748698310173138[Actual Cost])</f>
        <v>0</v>
      </c>
      <c r="E25" s="21">
        <f>SUBTOTAL(109,Table114385062748698310173138[Difference])</f>
        <v>160</v>
      </c>
      <c r="F25" s="67"/>
      <c r="J25" s="42"/>
      <c r="K25" s="148" t="s">
        <v>48</v>
      </c>
      <c r="L25" s="149"/>
      <c r="M25" s="44"/>
      <c r="N25" s="148" t="s">
        <v>4</v>
      </c>
      <c r="O25" s="149"/>
      <c r="P25" s="44"/>
      <c r="Q25" s="148" t="s">
        <v>47</v>
      </c>
      <c r="R25" s="149"/>
      <c r="S25" s="44"/>
      <c r="T25" s="148" t="s">
        <v>37</v>
      </c>
      <c r="U25" s="149"/>
      <c r="V25" s="44"/>
      <c r="W25" s="148" t="s">
        <v>6</v>
      </c>
      <c r="X25" s="149"/>
    </row>
    <row r="26" spans="1:24" ht="15.75" customHeight="1" thickBot="1" x14ac:dyDescent="0.25">
      <c r="A26" s="2"/>
      <c r="B26" s="113"/>
      <c r="C26" s="113"/>
      <c r="D26" s="113"/>
      <c r="E26" s="113"/>
      <c r="F26" s="67"/>
      <c r="J26" s="42"/>
      <c r="K26" s="45" t="s">
        <v>38</v>
      </c>
      <c r="L26" s="46" t="s">
        <v>46</v>
      </c>
      <c r="M26" s="44"/>
      <c r="N26" s="45" t="s">
        <v>38</v>
      </c>
      <c r="O26" s="46" t="s">
        <v>46</v>
      </c>
      <c r="P26" s="44"/>
      <c r="Q26" s="45" t="s">
        <v>38</v>
      </c>
      <c r="R26" s="46" t="s">
        <v>46</v>
      </c>
      <c r="S26" s="44"/>
      <c r="T26" s="45" t="s">
        <v>38</v>
      </c>
      <c r="U26" s="46" t="s">
        <v>46</v>
      </c>
      <c r="V26" s="44"/>
      <c r="W26" s="45" t="s">
        <v>38</v>
      </c>
      <c r="X26" s="46" t="s">
        <v>46</v>
      </c>
    </row>
    <row r="27" spans="1:24" ht="15.75" customHeight="1" x14ac:dyDescent="0.2">
      <c r="A27" s="2"/>
      <c r="B27" s="16" t="s">
        <v>24</v>
      </c>
      <c r="C27" s="17" t="s">
        <v>0</v>
      </c>
      <c r="D27" s="17" t="s">
        <v>1</v>
      </c>
      <c r="E27" s="18" t="s">
        <v>2</v>
      </c>
      <c r="F27" s="67"/>
      <c r="J27" s="42"/>
      <c r="K27" s="47" t="s">
        <v>48</v>
      </c>
      <c r="L27" s="48"/>
      <c r="M27" s="44"/>
      <c r="N27" s="47" t="s">
        <v>59</v>
      </c>
      <c r="O27" s="48"/>
      <c r="P27" s="44"/>
      <c r="Q27" s="47" t="s">
        <v>60</v>
      </c>
      <c r="R27" s="48"/>
      <c r="S27" s="44"/>
      <c r="T27" s="47" t="s">
        <v>59</v>
      </c>
      <c r="U27" s="48"/>
      <c r="V27" s="44"/>
      <c r="W27" s="47" t="s">
        <v>61</v>
      </c>
      <c r="X27" s="48"/>
    </row>
    <row r="28" spans="1:24" ht="15.75" customHeight="1" thickBot="1" x14ac:dyDescent="0.25">
      <c r="A28" s="2"/>
      <c r="B28" s="22" t="s">
        <v>20</v>
      </c>
      <c r="C28" s="19">
        <v>0</v>
      </c>
      <c r="D28" s="19">
        <f>L36</f>
        <v>0</v>
      </c>
      <c r="E28" s="20">
        <f>Table3214557698193105613203441[Projected Cost]-Table3214557698193105613203441[Actual Cost]</f>
        <v>0</v>
      </c>
      <c r="F28" s="67"/>
      <c r="J28" s="43"/>
      <c r="K28" s="47"/>
      <c r="L28" s="48"/>
      <c r="M28" s="44"/>
      <c r="N28" s="47"/>
      <c r="O28" s="48"/>
      <c r="P28" s="44"/>
      <c r="Q28" s="47"/>
      <c r="R28" s="48"/>
      <c r="S28" s="44"/>
      <c r="T28" s="47"/>
      <c r="U28" s="48"/>
      <c r="V28" s="44"/>
      <c r="W28" s="47"/>
      <c r="X28" s="48"/>
    </row>
    <row r="29" spans="1:24" ht="15.75" customHeight="1" thickBot="1" x14ac:dyDescent="0.25">
      <c r="A29" s="2"/>
      <c r="B29" s="22" t="s">
        <v>7</v>
      </c>
      <c r="C29" s="19">
        <v>0</v>
      </c>
      <c r="D29" s="19">
        <f>O36</f>
        <v>0</v>
      </c>
      <c r="E29" s="20">
        <f>Table3214557698193105613203441[Projected Cost]-Table3214557698193105613203441[Actual Cost]</f>
        <v>0</v>
      </c>
      <c r="F29" s="67"/>
      <c r="K29" s="49" t="s">
        <v>33</v>
      </c>
      <c r="L29" s="50">
        <f>SUM(L27:L28)</f>
        <v>0</v>
      </c>
      <c r="M29" s="56"/>
      <c r="N29" s="49" t="s">
        <v>33</v>
      </c>
      <c r="O29" s="50">
        <f>SUM(O27:O28)</f>
        <v>0</v>
      </c>
      <c r="P29" s="56"/>
      <c r="Q29" s="49" t="s">
        <v>33</v>
      </c>
      <c r="R29" s="50">
        <f>SUM(R27:R28)</f>
        <v>0</v>
      </c>
      <c r="S29" s="56"/>
      <c r="T29" s="49" t="s">
        <v>33</v>
      </c>
      <c r="U29" s="50">
        <f>SUM(U27:U28)</f>
        <v>0</v>
      </c>
      <c r="V29" s="56"/>
      <c r="W29" s="49" t="s">
        <v>33</v>
      </c>
      <c r="X29" s="50">
        <f>SUM(X27:X28)</f>
        <v>0</v>
      </c>
    </row>
    <row r="30" spans="1:24" ht="15.75" customHeight="1" thickBot="1" x14ac:dyDescent="0.25">
      <c r="A30" s="2"/>
      <c r="B30" s="22" t="s">
        <v>8</v>
      </c>
      <c r="C30" s="19">
        <v>0</v>
      </c>
      <c r="D30" s="19">
        <f>R40</f>
        <v>0</v>
      </c>
      <c r="E30" s="20">
        <f>Table3214557698193105613203441[Projected Cost]-Table3214557698193105613203441[Actual Cost]</f>
        <v>0</v>
      </c>
      <c r="F30" s="67"/>
      <c r="K30" s="44"/>
      <c r="L30" s="44"/>
      <c r="M30" s="44"/>
      <c r="N30" s="44"/>
      <c r="O30" s="44"/>
      <c r="P30" s="44"/>
      <c r="Q30" s="58"/>
      <c r="R30" s="58"/>
      <c r="S30" s="58"/>
      <c r="T30" s="58"/>
      <c r="U30" s="58"/>
      <c r="V30" s="44"/>
      <c r="W30" s="44"/>
      <c r="X30" s="44"/>
    </row>
    <row r="31" spans="1:24" ht="15.75" customHeight="1" thickBot="1" x14ac:dyDescent="0.25">
      <c r="A31" s="2"/>
      <c r="B31" s="22" t="s">
        <v>9</v>
      </c>
      <c r="C31" s="19">
        <v>0</v>
      </c>
      <c r="D31" s="19">
        <f>U38</f>
        <v>0</v>
      </c>
      <c r="E31" s="20">
        <f>Table3214557698193105613203441[Projected Cost]-Table3214557698193105613203441[Actual Cost]</f>
        <v>0</v>
      </c>
      <c r="F31" s="67"/>
      <c r="K31" s="139" t="s">
        <v>63</v>
      </c>
      <c r="L31" s="140"/>
      <c r="M31" s="140"/>
      <c r="N31" s="140"/>
      <c r="O31" s="140"/>
      <c r="P31" s="140"/>
      <c r="Q31" s="140"/>
      <c r="R31" s="140"/>
      <c r="S31" s="140"/>
      <c r="T31" s="140"/>
      <c r="U31" s="140"/>
      <c r="V31" s="140"/>
      <c r="W31" s="140"/>
      <c r="X31" s="141"/>
    </row>
    <row r="32" spans="1:24" ht="15.75" customHeight="1" thickBot="1" x14ac:dyDescent="0.25">
      <c r="A32" s="2"/>
      <c r="B32" s="22" t="s">
        <v>62</v>
      </c>
      <c r="C32" s="19">
        <v>50</v>
      </c>
      <c r="D32" s="19">
        <f>X40</f>
        <v>0</v>
      </c>
      <c r="E32" s="20">
        <f>Table3214557698193105613203441[Projected Cost]-Table3214557698193105613203441[Actual Cost]</f>
        <v>50</v>
      </c>
      <c r="F32" s="67"/>
      <c r="K32" s="148" t="s">
        <v>39</v>
      </c>
      <c r="L32" s="149"/>
      <c r="M32" s="44"/>
      <c r="N32" s="148" t="s">
        <v>7</v>
      </c>
      <c r="O32" s="149"/>
      <c r="P32" s="44"/>
      <c r="Q32" s="148" t="s">
        <v>8</v>
      </c>
      <c r="R32" s="149"/>
      <c r="S32" s="44"/>
      <c r="T32" s="148" t="s">
        <v>9</v>
      </c>
      <c r="U32" s="149"/>
      <c r="V32" s="44"/>
      <c r="W32" s="148" t="s">
        <v>62</v>
      </c>
      <c r="X32" s="149"/>
    </row>
    <row r="33" spans="1:24" ht="15.75" customHeight="1" thickBot="1" x14ac:dyDescent="0.25">
      <c r="A33" s="2"/>
      <c r="B33" s="16" t="s">
        <v>33</v>
      </c>
      <c r="C33" s="19">
        <f>SUBTOTAL(109,Table3214557698193105613203441[Projected Cost])</f>
        <v>50</v>
      </c>
      <c r="D33" s="19">
        <f>SUBTOTAL(109,Table3214557698193105613203441[Actual Cost])</f>
        <v>0</v>
      </c>
      <c r="E33" s="21">
        <f>SUBTOTAL(109,Table3214557698193105613203441[Difference])</f>
        <v>50</v>
      </c>
      <c r="F33" s="67"/>
      <c r="K33" s="45" t="s">
        <v>38</v>
      </c>
      <c r="L33" s="46" t="s">
        <v>46</v>
      </c>
      <c r="M33" s="44"/>
      <c r="N33" s="45" t="s">
        <v>38</v>
      </c>
      <c r="O33" s="46" t="s">
        <v>46</v>
      </c>
      <c r="P33" s="44"/>
      <c r="Q33" s="45" t="s">
        <v>38</v>
      </c>
      <c r="R33" s="46" t="s">
        <v>46</v>
      </c>
      <c r="S33" s="44"/>
      <c r="T33" s="45" t="s">
        <v>38</v>
      </c>
      <c r="U33" s="46" t="s">
        <v>46</v>
      </c>
      <c r="V33" s="44"/>
      <c r="W33" s="45" t="s">
        <v>38</v>
      </c>
      <c r="X33" s="46" t="s">
        <v>46</v>
      </c>
    </row>
    <row r="34" spans="1:24" ht="15.75" customHeight="1" x14ac:dyDescent="0.2">
      <c r="A34" s="2"/>
      <c r="B34" s="113"/>
      <c r="C34" s="113"/>
      <c r="D34" s="113"/>
      <c r="E34" s="113"/>
      <c r="F34" s="67"/>
      <c r="K34" s="47" t="s">
        <v>64</v>
      </c>
      <c r="L34" s="48"/>
      <c r="M34" s="44"/>
      <c r="N34" s="47" t="s">
        <v>59</v>
      </c>
      <c r="O34" s="48"/>
      <c r="P34" s="44"/>
      <c r="Q34" s="47" t="s">
        <v>65</v>
      </c>
      <c r="R34" s="48"/>
      <c r="S34" s="44"/>
      <c r="T34" s="47" t="s">
        <v>67</v>
      </c>
      <c r="U34" s="48"/>
      <c r="V34" s="44"/>
      <c r="W34" s="47" t="s">
        <v>66</v>
      </c>
      <c r="X34" s="48"/>
    </row>
    <row r="35" spans="1:24" ht="15.75" customHeight="1" thickBot="1" x14ac:dyDescent="0.25">
      <c r="A35" s="2"/>
      <c r="B35" s="16" t="s">
        <v>25</v>
      </c>
      <c r="C35" s="17" t="s">
        <v>0</v>
      </c>
      <c r="D35" s="17" t="s">
        <v>1</v>
      </c>
      <c r="E35" s="18" t="s">
        <v>2</v>
      </c>
      <c r="F35" s="67"/>
      <c r="K35" s="47"/>
      <c r="L35" s="48"/>
      <c r="M35" s="44"/>
      <c r="N35" s="47"/>
      <c r="O35" s="48"/>
      <c r="P35" s="44"/>
      <c r="Q35" s="47"/>
      <c r="R35" s="48"/>
      <c r="S35" s="44"/>
      <c r="T35" s="47"/>
      <c r="U35" s="48"/>
      <c r="V35" s="44"/>
      <c r="W35" s="47"/>
      <c r="X35" s="48"/>
    </row>
    <row r="36" spans="1:24" ht="15.75" customHeight="1" thickBot="1" x14ac:dyDescent="0.25">
      <c r="A36" s="2"/>
      <c r="B36" s="22" t="s">
        <v>68</v>
      </c>
      <c r="C36" s="19">
        <v>15</v>
      </c>
      <c r="D36" s="19">
        <f>L46</f>
        <v>0</v>
      </c>
      <c r="E36" s="20">
        <f>Table415395163758799411183239[Projected Cost]-Table415395163758799411183239[Actual Cost]</f>
        <v>15</v>
      </c>
      <c r="F36" s="67"/>
      <c r="K36" s="49" t="s">
        <v>33</v>
      </c>
      <c r="L36" s="50">
        <f>SUM(L34:L35)</f>
        <v>0</v>
      </c>
      <c r="M36" s="44"/>
      <c r="N36" s="49" t="s">
        <v>33</v>
      </c>
      <c r="O36" s="50">
        <f>SUM(O34:O35)</f>
        <v>0</v>
      </c>
      <c r="P36" s="44"/>
      <c r="Q36" s="47"/>
      <c r="R36" s="48"/>
      <c r="S36" s="44"/>
      <c r="T36" s="47"/>
      <c r="U36" s="48"/>
      <c r="V36" s="44"/>
      <c r="W36" s="47"/>
      <c r="X36" s="48"/>
    </row>
    <row r="37" spans="1:24" ht="15.75" customHeight="1" thickBot="1" x14ac:dyDescent="0.25">
      <c r="A37" s="2"/>
      <c r="B37" s="16" t="s">
        <v>33</v>
      </c>
      <c r="C37" s="19">
        <f>SUBTOTAL(109,Table415395163758799411183239[Projected Cost])</f>
        <v>15</v>
      </c>
      <c r="D37" s="19">
        <f>SUBTOTAL(109,Table415395163758799411183239[Actual Cost])</f>
        <v>0</v>
      </c>
      <c r="E37" s="21">
        <f>SUBTOTAL(109,Table415395163758799411183239[Difference])</f>
        <v>15</v>
      </c>
      <c r="F37" s="67"/>
      <c r="K37" s="62"/>
      <c r="L37" s="58"/>
      <c r="M37" s="44"/>
      <c r="N37" s="58"/>
      <c r="O37" s="58"/>
      <c r="P37" s="44"/>
      <c r="Q37" s="47"/>
      <c r="R37" s="48"/>
      <c r="S37" s="44"/>
      <c r="T37" s="47"/>
      <c r="U37" s="48"/>
      <c r="V37" s="44"/>
      <c r="W37" s="47"/>
      <c r="X37" s="48"/>
    </row>
    <row r="38" spans="1:24" ht="15.75" customHeight="1" thickBot="1" x14ac:dyDescent="0.25">
      <c r="A38" s="2"/>
      <c r="B38" s="113"/>
      <c r="C38" s="113"/>
      <c r="D38" s="113"/>
      <c r="E38" s="113"/>
      <c r="F38" s="67"/>
      <c r="K38" s="62"/>
      <c r="L38" s="58"/>
      <c r="M38" s="44"/>
      <c r="N38" s="58"/>
      <c r="O38" s="58"/>
      <c r="P38" s="44"/>
      <c r="Q38" s="47"/>
      <c r="R38" s="48"/>
      <c r="S38" s="44"/>
      <c r="T38" s="49" t="s">
        <v>33</v>
      </c>
      <c r="U38" s="50">
        <f>SUM(U34:U37)</f>
        <v>0</v>
      </c>
      <c r="V38" s="44"/>
      <c r="W38" s="47"/>
      <c r="X38" s="48"/>
    </row>
    <row r="39" spans="1:24" ht="15.75" customHeight="1" thickBot="1" x14ac:dyDescent="0.25">
      <c r="A39" s="2"/>
      <c r="B39" s="16" t="s">
        <v>26</v>
      </c>
      <c r="C39" s="17" t="s">
        <v>0</v>
      </c>
      <c r="D39" s="17" t="s">
        <v>1</v>
      </c>
      <c r="E39" s="18" t="s">
        <v>2</v>
      </c>
      <c r="F39" s="67"/>
      <c r="K39" s="62"/>
      <c r="L39" s="58"/>
      <c r="M39" s="44"/>
      <c r="N39" s="58"/>
      <c r="O39" s="58"/>
      <c r="P39" s="44"/>
      <c r="Q39" s="47"/>
      <c r="R39" s="48"/>
      <c r="S39" s="44"/>
      <c r="T39" s="58"/>
      <c r="U39" s="58"/>
      <c r="V39" s="44"/>
      <c r="W39" s="47"/>
      <c r="X39" s="48"/>
    </row>
    <row r="40" spans="1:24" ht="15.75" customHeight="1" thickBot="1" x14ac:dyDescent="0.25">
      <c r="A40" s="2"/>
      <c r="B40" s="22" t="s">
        <v>92</v>
      </c>
      <c r="C40" s="19">
        <f>IF('Starting Page'!I24="Yes",'Starting Page'!I26/8,300)</f>
        <v>300</v>
      </c>
      <c r="D40" s="19">
        <f>O53</f>
        <v>0</v>
      </c>
      <c r="E40" s="20">
        <f>Table5194355677991103512193340[Projected Cost]-Table5194355677991103512193340[Actual Cost]</f>
        <v>300</v>
      </c>
      <c r="F40" s="67"/>
      <c r="K40" s="63"/>
      <c r="L40" s="59"/>
      <c r="M40" s="56"/>
      <c r="N40" s="59"/>
      <c r="O40" s="59"/>
      <c r="P40" s="56"/>
      <c r="Q40" s="49" t="s">
        <v>33</v>
      </c>
      <c r="R40" s="50">
        <f>SUM(R34:R39)</f>
        <v>0</v>
      </c>
      <c r="S40" s="56"/>
      <c r="T40" s="59"/>
      <c r="U40" s="59"/>
      <c r="V40" s="56"/>
      <c r="W40" s="49" t="s">
        <v>33</v>
      </c>
      <c r="X40" s="50">
        <f>SUM(X34:X39)</f>
        <v>0</v>
      </c>
    </row>
    <row r="41" spans="1:24" ht="15.75" customHeight="1" thickBot="1" x14ac:dyDescent="0.25">
      <c r="A41" s="2"/>
      <c r="B41" s="22" t="s">
        <v>15</v>
      </c>
      <c r="C41" s="19">
        <v>100</v>
      </c>
      <c r="D41" s="19">
        <f>R53</f>
        <v>0</v>
      </c>
      <c r="E41" s="20">
        <f>Table5194355677991103512193340[Projected Cost]-Table5194355677991103512193340[Actual Cost]</f>
        <v>100</v>
      </c>
      <c r="F41" s="67"/>
    </row>
    <row r="42" spans="1:24" ht="15.75" customHeight="1" thickBot="1" x14ac:dyDescent="0.25">
      <c r="A42" s="2"/>
      <c r="B42" s="22" t="s">
        <v>6</v>
      </c>
      <c r="C42" s="19">
        <v>0</v>
      </c>
      <c r="D42" s="19">
        <f>U49</f>
        <v>0</v>
      </c>
      <c r="E42" s="20">
        <f>Table5194355677991103512193340[Projected Cost]-Table5194355677991103512193340[Actual Cost]</f>
        <v>0</v>
      </c>
      <c r="F42" s="67"/>
      <c r="K42" s="144" t="s">
        <v>68</v>
      </c>
      <c r="L42" s="145"/>
      <c r="N42" s="139" t="s">
        <v>11</v>
      </c>
      <c r="O42" s="140"/>
      <c r="P42" s="140"/>
      <c r="Q42" s="140"/>
      <c r="R42" s="140"/>
      <c r="S42" s="140"/>
      <c r="T42" s="140"/>
      <c r="U42" s="141"/>
    </row>
    <row r="43" spans="1:24" ht="15.75" customHeight="1" thickBot="1" x14ac:dyDescent="0.25">
      <c r="A43" s="2"/>
      <c r="B43" s="16" t="s">
        <v>33</v>
      </c>
      <c r="C43" s="19">
        <f>SUBTOTAL(109,Table5194355677991103512193340[Projected Cost])</f>
        <v>400</v>
      </c>
      <c r="D43" s="19">
        <f>SUBTOTAL(109,Table5194355677991103512193340[Actual Cost])</f>
        <v>0</v>
      </c>
      <c r="E43" s="21">
        <f>SUBTOTAL(109,Table5194355677991103512193340[Difference])</f>
        <v>400</v>
      </c>
      <c r="F43" s="67"/>
      <c r="K43" s="45" t="s">
        <v>38</v>
      </c>
      <c r="L43" s="46" t="s">
        <v>46</v>
      </c>
      <c r="N43" s="148" t="s">
        <v>10</v>
      </c>
      <c r="O43" s="149"/>
      <c r="P43" s="44"/>
      <c r="Q43" s="148" t="s">
        <v>40</v>
      </c>
      <c r="R43" s="149"/>
      <c r="S43" s="58"/>
      <c r="T43" s="148" t="s">
        <v>6</v>
      </c>
      <c r="U43" s="149"/>
    </row>
    <row r="44" spans="1:24" ht="15.75" customHeight="1" thickBot="1" x14ac:dyDescent="0.25">
      <c r="A44" s="2"/>
      <c r="B44" s="113"/>
      <c r="C44" s="113"/>
      <c r="D44" s="113"/>
      <c r="E44" s="113"/>
      <c r="F44" s="67"/>
      <c r="K44" s="47" t="s">
        <v>59</v>
      </c>
      <c r="L44" s="48"/>
      <c r="N44" s="45" t="s">
        <v>38</v>
      </c>
      <c r="O44" s="46" t="s">
        <v>46</v>
      </c>
      <c r="P44" s="44"/>
      <c r="Q44" s="45" t="s">
        <v>38</v>
      </c>
      <c r="R44" s="46" t="s">
        <v>46</v>
      </c>
      <c r="S44" s="58"/>
      <c r="T44" s="45" t="s">
        <v>38</v>
      </c>
      <c r="U44" s="46" t="s">
        <v>46</v>
      </c>
    </row>
    <row r="45" spans="1:24" ht="15.75" customHeight="1" thickBot="1" x14ac:dyDescent="0.25">
      <c r="A45" s="2"/>
      <c r="B45" s="16" t="s">
        <v>27</v>
      </c>
      <c r="C45" s="17" t="s">
        <v>0</v>
      </c>
      <c r="D45" s="17" t="s">
        <v>1</v>
      </c>
      <c r="E45" s="18" t="s">
        <v>2</v>
      </c>
      <c r="F45" s="67"/>
      <c r="K45" s="47"/>
      <c r="L45" s="48"/>
      <c r="N45" s="47" t="s">
        <v>69</v>
      </c>
      <c r="O45" s="48"/>
      <c r="P45" s="44"/>
      <c r="Q45" s="47" t="s">
        <v>70</v>
      </c>
      <c r="R45" s="48"/>
      <c r="S45" s="58"/>
      <c r="T45" s="47"/>
      <c r="U45" s="48"/>
    </row>
    <row r="46" spans="1:24" ht="17.25" customHeight="1" thickBot="1" x14ac:dyDescent="0.25">
      <c r="A46" s="2"/>
      <c r="B46" s="22" t="s">
        <v>12</v>
      </c>
      <c r="C46" s="19">
        <v>20</v>
      </c>
      <c r="D46" s="19">
        <f>L61</f>
        <v>0</v>
      </c>
      <c r="E46" s="20">
        <f>Table7244860728496108714213542[Projected Cost]-Table7244860728496108714213542[Actual Cost]</f>
        <v>20</v>
      </c>
      <c r="F46" s="67"/>
      <c r="K46" s="49" t="s">
        <v>33</v>
      </c>
      <c r="L46" s="50">
        <f>SUM(L44:L45)</f>
        <v>0</v>
      </c>
      <c r="N46" s="47"/>
      <c r="O46" s="48"/>
      <c r="P46" s="44"/>
      <c r="Q46" s="47"/>
      <c r="R46" s="48"/>
      <c r="S46" s="58"/>
      <c r="T46" s="47"/>
      <c r="U46" s="48"/>
    </row>
    <row r="47" spans="1:24" ht="15.75" customHeight="1" x14ac:dyDescent="0.2">
      <c r="A47" s="2"/>
      <c r="B47" s="22" t="s">
        <v>14</v>
      </c>
      <c r="C47" s="19">
        <v>50</v>
      </c>
      <c r="D47" s="19">
        <f>O60</f>
        <v>0</v>
      </c>
      <c r="E47" s="20">
        <f>Table7244860728496108714213542[Projected Cost]-Table7244860728496108714213542[Actual Cost]</f>
        <v>50</v>
      </c>
      <c r="F47" s="67"/>
      <c r="N47" s="47"/>
      <c r="O47" s="48"/>
      <c r="P47" s="44"/>
      <c r="Q47" s="47"/>
      <c r="R47" s="48"/>
      <c r="S47" s="58"/>
      <c r="T47" s="47"/>
      <c r="U47" s="48"/>
    </row>
    <row r="48" spans="1:24" ht="15.75" customHeight="1" thickBot="1" x14ac:dyDescent="0.25">
      <c r="A48" s="2"/>
      <c r="B48" s="22" t="s">
        <v>13</v>
      </c>
      <c r="C48" s="19">
        <v>50</v>
      </c>
      <c r="D48" s="19">
        <f>R64</f>
        <v>0</v>
      </c>
      <c r="E48" s="20">
        <f>Table7244860728496108714213542[Projected Cost]-Table7244860728496108714213542[Actual Cost]</f>
        <v>50</v>
      </c>
      <c r="F48" s="67"/>
      <c r="N48" s="47"/>
      <c r="O48" s="48"/>
      <c r="P48" s="44"/>
      <c r="Q48" s="47"/>
      <c r="R48" s="48"/>
      <c r="S48" s="58"/>
      <c r="T48" s="47"/>
      <c r="U48" s="48"/>
    </row>
    <row r="49" spans="1:24" ht="15.75" customHeight="1" thickBot="1" x14ac:dyDescent="0.25">
      <c r="A49" s="2"/>
      <c r="B49" s="22" t="s">
        <v>49</v>
      </c>
      <c r="C49" s="19">
        <v>40</v>
      </c>
      <c r="D49" s="19">
        <f>U60</f>
        <v>0</v>
      </c>
      <c r="E49" s="20">
        <f>Table7244860728496108714213542[Projected Cost]-Table7244860728496108714213542[Actual Cost]</f>
        <v>40</v>
      </c>
      <c r="F49" s="67"/>
      <c r="N49" s="47"/>
      <c r="O49" s="48"/>
      <c r="P49" s="44"/>
      <c r="Q49" s="47"/>
      <c r="R49" s="48"/>
      <c r="S49" s="58"/>
      <c r="T49" s="49" t="s">
        <v>33</v>
      </c>
      <c r="U49" s="50">
        <f>SUM(U45:U48)</f>
        <v>0</v>
      </c>
    </row>
    <row r="50" spans="1:24" ht="15.75" customHeight="1" x14ac:dyDescent="0.2">
      <c r="A50" s="2"/>
      <c r="B50" s="22" t="s">
        <v>6</v>
      </c>
      <c r="C50" s="19">
        <v>20</v>
      </c>
      <c r="D50" s="19">
        <f>X64</f>
        <v>0</v>
      </c>
      <c r="E50" s="20">
        <f>Table7244860728496108714213542[Projected Cost]-Table7244860728496108714213542[Actual Cost]</f>
        <v>20</v>
      </c>
      <c r="F50" s="67"/>
      <c r="N50" s="47"/>
      <c r="O50" s="48"/>
      <c r="P50" s="44"/>
      <c r="Q50" s="47"/>
      <c r="R50" s="48"/>
      <c r="S50" s="58"/>
      <c r="T50" s="58"/>
      <c r="U50" s="64"/>
    </row>
    <row r="51" spans="1:24" ht="15.75" customHeight="1" x14ac:dyDescent="0.2">
      <c r="A51" s="2"/>
      <c r="B51" s="16" t="s">
        <v>33</v>
      </c>
      <c r="C51" s="19">
        <f>SUBTOTAL(109,Table7244860728496108714213542[Projected Cost])</f>
        <v>180</v>
      </c>
      <c r="D51" s="19">
        <f>SUBTOTAL(109,Table7244860728496108714213542[Actual Cost])</f>
        <v>0</v>
      </c>
      <c r="E51" s="21">
        <f>SUBTOTAL(109,Table7244860728496108714213542[Difference])</f>
        <v>180</v>
      </c>
      <c r="F51" s="67"/>
      <c r="N51" s="47"/>
      <c r="O51" s="48"/>
      <c r="P51" s="44"/>
      <c r="Q51" s="47"/>
      <c r="R51" s="48"/>
      <c r="S51" s="58"/>
      <c r="T51" s="58"/>
      <c r="U51" s="64"/>
    </row>
    <row r="52" spans="1:24" ht="15.75" customHeight="1" thickBot="1" x14ac:dyDescent="0.25">
      <c r="A52" s="2"/>
      <c r="F52" s="67"/>
      <c r="N52" s="47"/>
      <c r="O52" s="48"/>
      <c r="P52" s="44"/>
      <c r="Q52" s="47"/>
      <c r="R52" s="48"/>
      <c r="S52" s="58"/>
      <c r="T52" s="58"/>
      <c r="U52" s="64"/>
    </row>
    <row r="53" spans="1:24" ht="15.75" customHeight="1" thickBot="1" x14ac:dyDescent="0.25">
      <c r="A53" s="2"/>
      <c r="B53" s="16" t="s">
        <v>23</v>
      </c>
      <c r="C53" s="17" t="s">
        <v>0</v>
      </c>
      <c r="D53" s="17" t="s">
        <v>1</v>
      </c>
      <c r="E53" s="18" t="s">
        <v>2</v>
      </c>
      <c r="F53" s="67"/>
      <c r="N53" s="49" t="s">
        <v>33</v>
      </c>
      <c r="O53" s="50">
        <f>SUM(O45:O52)</f>
        <v>0</v>
      </c>
      <c r="P53" s="56"/>
      <c r="Q53" s="49" t="s">
        <v>33</v>
      </c>
      <c r="R53" s="50">
        <f>SUM(R45:R52)</f>
        <v>0</v>
      </c>
      <c r="S53" s="59"/>
      <c r="T53" s="59"/>
      <c r="U53" s="65"/>
    </row>
    <row r="54" spans="1:24" ht="15.75" customHeight="1" thickBot="1" x14ac:dyDescent="0.25">
      <c r="A54" s="2"/>
      <c r="B54" s="22" t="s">
        <v>81</v>
      </c>
      <c r="C54" s="19">
        <v>50</v>
      </c>
      <c r="D54" s="19">
        <f>L72</f>
        <v>0</v>
      </c>
      <c r="E54" s="20">
        <f>Table2254961738597109815223643[Projected Cost]-Table2254961738597109815223643[Actual Cost]</f>
        <v>50</v>
      </c>
      <c r="F54" s="67"/>
    </row>
    <row r="55" spans="1:24" ht="15.75" customHeight="1" thickBot="1" x14ac:dyDescent="0.25">
      <c r="A55" s="2"/>
      <c r="B55" s="22" t="s">
        <v>16</v>
      </c>
      <c r="C55" s="19">
        <v>15</v>
      </c>
      <c r="D55" s="19">
        <f>O71</f>
        <v>0</v>
      </c>
      <c r="E55" s="20">
        <f>Table2254961738597109815223643[Projected Cost]-Table2254961738597109815223643[Actual Cost]</f>
        <v>15</v>
      </c>
      <c r="F55" s="13"/>
      <c r="K55" s="139" t="s">
        <v>75</v>
      </c>
      <c r="L55" s="140"/>
      <c r="M55" s="140"/>
      <c r="N55" s="140"/>
      <c r="O55" s="140"/>
      <c r="P55" s="140"/>
      <c r="Q55" s="140"/>
      <c r="R55" s="140"/>
      <c r="S55" s="140"/>
      <c r="T55" s="140"/>
      <c r="U55" s="140"/>
      <c r="V55" s="140"/>
      <c r="W55" s="140"/>
      <c r="X55" s="141"/>
    </row>
    <row r="56" spans="1:24" ht="15.75" customHeight="1" thickBot="1" x14ac:dyDescent="0.25">
      <c r="A56" s="2"/>
      <c r="B56" s="22" t="s">
        <v>17</v>
      </c>
      <c r="C56" s="19">
        <v>20</v>
      </c>
      <c r="D56" s="19">
        <f>R71</f>
        <v>0</v>
      </c>
      <c r="E56" s="20">
        <f>Table2254961738597109815223643[Projected Cost]-Table2254961738597109815223643[Actual Cost]</f>
        <v>20</v>
      </c>
      <c r="F56" s="13"/>
      <c r="K56" s="148" t="s">
        <v>12</v>
      </c>
      <c r="L56" s="149"/>
      <c r="M56" s="44"/>
      <c r="N56" s="148" t="s">
        <v>71</v>
      </c>
      <c r="O56" s="149"/>
      <c r="P56" s="44"/>
      <c r="Q56" s="142" t="s">
        <v>13</v>
      </c>
      <c r="R56" s="143"/>
      <c r="S56" s="44"/>
      <c r="T56" s="148" t="s">
        <v>49</v>
      </c>
      <c r="U56" s="149"/>
      <c r="V56" s="44"/>
      <c r="W56" s="142" t="s">
        <v>6</v>
      </c>
      <c r="X56" s="143"/>
    </row>
    <row r="57" spans="1:24" ht="15.75" customHeight="1" thickBot="1" x14ac:dyDescent="0.25">
      <c r="A57" s="2"/>
      <c r="B57" s="22" t="s">
        <v>21</v>
      </c>
      <c r="C57" s="19">
        <v>0</v>
      </c>
      <c r="D57" s="19">
        <f>U71</f>
        <v>0</v>
      </c>
      <c r="E57" s="20">
        <f>Table2254961738597109815223643[Projected Cost]-Table2254961738597109815223643[Actual Cost]</f>
        <v>0</v>
      </c>
      <c r="F57" s="13"/>
      <c r="K57" s="45" t="s">
        <v>38</v>
      </c>
      <c r="L57" s="46" t="s">
        <v>46</v>
      </c>
      <c r="M57" s="44"/>
      <c r="N57" s="45" t="s">
        <v>38</v>
      </c>
      <c r="O57" s="46" t="s">
        <v>46</v>
      </c>
      <c r="P57" s="44"/>
      <c r="Q57" s="45" t="s">
        <v>38</v>
      </c>
      <c r="R57" s="46" t="s">
        <v>46</v>
      </c>
      <c r="S57" s="44"/>
      <c r="T57" s="45" t="s">
        <v>38</v>
      </c>
      <c r="U57" s="46" t="s">
        <v>46</v>
      </c>
      <c r="V57" s="44"/>
      <c r="W57" s="45" t="s">
        <v>38</v>
      </c>
      <c r="X57" s="46" t="s">
        <v>46</v>
      </c>
    </row>
    <row r="58" spans="1:24" ht="15.75" customHeight="1" x14ac:dyDescent="0.2">
      <c r="A58" s="2"/>
      <c r="B58" s="22" t="s">
        <v>6</v>
      </c>
      <c r="C58" s="19">
        <v>100</v>
      </c>
      <c r="D58" s="19">
        <f>X75</f>
        <v>0</v>
      </c>
      <c r="E58" s="20">
        <f>Table2254961738597109815223643[Projected Cost]-Table2254961738597109815223643[Actual Cost]</f>
        <v>100</v>
      </c>
      <c r="F58" s="13"/>
      <c r="K58" s="47" t="s">
        <v>82</v>
      </c>
      <c r="L58" s="48"/>
      <c r="M58" s="44"/>
      <c r="N58" s="47" t="s">
        <v>73</v>
      </c>
      <c r="O58" s="48"/>
      <c r="P58" s="44"/>
      <c r="Q58" s="47" t="s">
        <v>74</v>
      </c>
      <c r="R58" s="48"/>
      <c r="S58" s="44"/>
      <c r="T58" s="47" t="s">
        <v>49</v>
      </c>
      <c r="U58" s="48"/>
      <c r="V58" s="44"/>
      <c r="W58" s="47"/>
      <c r="X58" s="48"/>
    </row>
    <row r="59" spans="1:24" ht="15.75" customHeight="1" thickBot="1" x14ac:dyDescent="0.25">
      <c r="A59" s="2"/>
      <c r="B59" s="16" t="s">
        <v>33</v>
      </c>
      <c r="C59" s="77">
        <f>SUBTOTAL(109,Table2254961738597109815223643[Projected Cost])</f>
        <v>185</v>
      </c>
      <c r="D59" s="19">
        <f>SUBTOTAL(109,Table2254961738597109815223643[Actual Cost])</f>
        <v>0</v>
      </c>
      <c r="E59" s="21">
        <f>SUBTOTAL(109,Table2254961738597109815223643[Difference])</f>
        <v>185</v>
      </c>
      <c r="F59" s="13"/>
      <c r="K59" s="47"/>
      <c r="L59" s="48"/>
      <c r="M59" s="44"/>
      <c r="N59" s="47"/>
      <c r="O59" s="48"/>
      <c r="P59" s="44"/>
      <c r="Q59" s="47"/>
      <c r="R59" s="48"/>
      <c r="S59" s="44"/>
      <c r="T59" s="47"/>
      <c r="U59" s="48"/>
      <c r="V59" s="44"/>
      <c r="W59" s="47"/>
      <c r="X59" s="48"/>
    </row>
    <row r="60" spans="1:24" ht="15.75" customHeight="1" thickBot="1" x14ac:dyDescent="0.25">
      <c r="A60" s="2"/>
      <c r="F60" s="13"/>
      <c r="K60" s="47"/>
      <c r="L60" s="48"/>
      <c r="M60" s="44"/>
      <c r="N60" s="49" t="s">
        <v>33</v>
      </c>
      <c r="O60" s="50">
        <f>SUM(O58:O59)</f>
        <v>0</v>
      </c>
      <c r="P60" s="44"/>
      <c r="Q60" s="47"/>
      <c r="R60" s="48"/>
      <c r="S60" s="44"/>
      <c r="T60" s="49" t="s">
        <v>33</v>
      </c>
      <c r="U60" s="50">
        <f>SUM(U58:U59)</f>
        <v>0</v>
      </c>
      <c r="V60" s="44"/>
      <c r="W60" s="47"/>
      <c r="X60" s="48"/>
    </row>
    <row r="61" spans="1:24" ht="15.75" customHeight="1" thickBot="1" x14ac:dyDescent="0.25">
      <c r="A61" s="2"/>
      <c r="F61" s="13"/>
      <c r="K61" s="49" t="s">
        <v>33</v>
      </c>
      <c r="L61" s="50">
        <f>SUM(L58:L60)</f>
        <v>0</v>
      </c>
      <c r="M61" s="44"/>
      <c r="N61" s="58"/>
      <c r="O61" s="58"/>
      <c r="P61" s="44"/>
      <c r="Q61" s="47"/>
      <c r="R61" s="48"/>
      <c r="S61" s="44"/>
      <c r="T61" s="58"/>
      <c r="U61" s="58"/>
      <c r="V61" s="44"/>
      <c r="W61" s="47"/>
      <c r="X61" s="48"/>
    </row>
    <row r="62" spans="1:24" ht="15.75" customHeight="1" x14ac:dyDescent="0.2">
      <c r="B62" s="102" t="s">
        <v>30</v>
      </c>
      <c r="C62" s="102"/>
      <c r="D62" s="102"/>
      <c r="E62" s="117">
        <f>SUM(C17,C25,C33,C37,C43,C51,C59)</f>
        <v>1090</v>
      </c>
      <c r="K62" s="62"/>
      <c r="L62" s="58"/>
      <c r="M62" s="44"/>
      <c r="N62" s="58"/>
      <c r="O62" s="58"/>
      <c r="P62" s="44"/>
      <c r="Q62" s="47"/>
      <c r="R62" s="48"/>
      <c r="S62" s="44"/>
      <c r="T62" s="58"/>
      <c r="U62" s="58"/>
      <c r="V62" s="44"/>
      <c r="W62" s="47"/>
      <c r="X62" s="48"/>
    </row>
    <row r="63" spans="1:24" ht="13.5" thickBot="1" x14ac:dyDescent="0.25">
      <c r="B63" s="102"/>
      <c r="C63" s="102"/>
      <c r="D63" s="102"/>
      <c r="E63" s="117"/>
      <c r="J63" s="58"/>
      <c r="K63" s="62"/>
      <c r="L63" s="58"/>
      <c r="M63" s="44"/>
      <c r="N63" s="58"/>
      <c r="O63" s="58"/>
      <c r="P63" s="44"/>
      <c r="Q63" s="47"/>
      <c r="R63" s="48"/>
      <c r="S63" s="44"/>
      <c r="T63" s="58"/>
      <c r="U63" s="58"/>
      <c r="V63" s="44"/>
      <c r="W63" s="47"/>
      <c r="X63" s="48"/>
    </row>
    <row r="64" spans="1:24" ht="13.5" thickBot="1" x14ac:dyDescent="0.25">
      <c r="B64" s="102" t="s">
        <v>31</v>
      </c>
      <c r="C64" s="102"/>
      <c r="D64" s="102"/>
      <c r="E64" s="117">
        <f>SUM(D17,D25,D33,D37,D43,D51,D59)</f>
        <v>0</v>
      </c>
      <c r="J64" s="58"/>
      <c r="K64" s="63"/>
      <c r="L64" s="59"/>
      <c r="M64" s="56"/>
      <c r="N64" s="59"/>
      <c r="O64" s="59"/>
      <c r="P64" s="56"/>
      <c r="Q64" s="49" t="s">
        <v>33</v>
      </c>
      <c r="R64" s="50">
        <f>SUM(R58:R63)</f>
        <v>0</v>
      </c>
      <c r="S64" s="56"/>
      <c r="T64" s="59"/>
      <c r="U64" s="59"/>
      <c r="V64" s="56"/>
      <c r="W64" s="49" t="s">
        <v>33</v>
      </c>
      <c r="X64" s="50">
        <f>SUM(X58:X63)</f>
        <v>0</v>
      </c>
    </row>
    <row r="65" spans="2:24" ht="13.5" thickBot="1" x14ac:dyDescent="0.25">
      <c r="B65" s="102"/>
      <c r="C65" s="102"/>
      <c r="D65" s="102"/>
      <c r="E65" s="117"/>
      <c r="J65" s="58"/>
      <c r="K65" s="58"/>
      <c r="L65" s="58"/>
      <c r="M65" s="58"/>
      <c r="N65" s="58"/>
      <c r="O65" s="58"/>
      <c r="P65" s="58"/>
      <c r="S65" s="58"/>
      <c r="T65" s="58"/>
      <c r="U65" s="58"/>
      <c r="V65" s="58"/>
    </row>
    <row r="66" spans="2:24" ht="13.5" thickBot="1" x14ac:dyDescent="0.25">
      <c r="B66" s="102" t="s">
        <v>32</v>
      </c>
      <c r="C66" s="102"/>
      <c r="D66" s="102"/>
      <c r="E66" s="117">
        <f>SUM(E17,E25,E33,E37,E43,E51,E59)</f>
        <v>1090</v>
      </c>
      <c r="J66" s="58"/>
      <c r="K66" s="139" t="s">
        <v>76</v>
      </c>
      <c r="L66" s="140"/>
      <c r="M66" s="140"/>
      <c r="N66" s="140"/>
      <c r="O66" s="140"/>
      <c r="P66" s="140"/>
      <c r="Q66" s="140"/>
      <c r="R66" s="140"/>
      <c r="S66" s="140"/>
      <c r="T66" s="140"/>
      <c r="U66" s="140"/>
      <c r="V66" s="140"/>
      <c r="W66" s="140"/>
      <c r="X66" s="141"/>
    </row>
    <row r="67" spans="2:24" ht="13.5" thickBot="1" x14ac:dyDescent="0.25">
      <c r="B67" s="102"/>
      <c r="C67" s="102"/>
      <c r="D67" s="102"/>
      <c r="E67" s="117"/>
      <c r="J67" s="58"/>
      <c r="K67" s="148" t="s">
        <v>41</v>
      </c>
      <c r="L67" s="149"/>
      <c r="M67" s="44"/>
      <c r="N67" s="148" t="s">
        <v>16</v>
      </c>
      <c r="O67" s="149"/>
      <c r="P67" s="44"/>
      <c r="Q67" s="142" t="s">
        <v>17</v>
      </c>
      <c r="R67" s="143"/>
      <c r="S67" s="44"/>
      <c r="T67" s="148" t="s">
        <v>77</v>
      </c>
      <c r="U67" s="149"/>
      <c r="V67" s="44"/>
      <c r="W67" s="142" t="s">
        <v>6</v>
      </c>
      <c r="X67" s="143"/>
    </row>
    <row r="68" spans="2:24" ht="13.5" thickBot="1" x14ac:dyDescent="0.25">
      <c r="J68" s="58"/>
      <c r="K68" s="45" t="s">
        <v>38</v>
      </c>
      <c r="L68" s="46" t="s">
        <v>46</v>
      </c>
      <c r="M68" s="44"/>
      <c r="N68" s="45" t="s">
        <v>38</v>
      </c>
      <c r="O68" s="46" t="s">
        <v>46</v>
      </c>
      <c r="P68" s="44"/>
      <c r="Q68" s="45" t="s">
        <v>38</v>
      </c>
      <c r="R68" s="46" t="s">
        <v>46</v>
      </c>
      <c r="S68" s="44"/>
      <c r="T68" s="45" t="s">
        <v>38</v>
      </c>
      <c r="U68" s="46" t="s">
        <v>46</v>
      </c>
      <c r="V68" s="44"/>
      <c r="W68" s="45" t="s">
        <v>38</v>
      </c>
      <c r="X68" s="46" t="s">
        <v>46</v>
      </c>
    </row>
    <row r="69" spans="2:24" x14ac:dyDescent="0.2">
      <c r="J69" s="58"/>
      <c r="K69" s="47" t="s">
        <v>72</v>
      </c>
      <c r="L69" s="48"/>
      <c r="M69" s="44"/>
      <c r="N69" s="47" t="s">
        <v>43</v>
      </c>
      <c r="O69" s="48"/>
      <c r="P69" s="44"/>
      <c r="Q69" s="47" t="s">
        <v>78</v>
      </c>
      <c r="R69" s="48"/>
      <c r="S69" s="44"/>
      <c r="T69" s="47" t="s">
        <v>79</v>
      </c>
      <c r="U69" s="48"/>
      <c r="V69" s="44"/>
      <c r="W69" s="47"/>
      <c r="X69" s="48"/>
    </row>
    <row r="70" spans="2:24" ht="13.5" thickBot="1" x14ac:dyDescent="0.25">
      <c r="K70" s="47"/>
      <c r="L70" s="48"/>
      <c r="M70" s="44"/>
      <c r="N70" s="47"/>
      <c r="O70" s="48"/>
      <c r="P70" s="44"/>
      <c r="Q70" s="47"/>
      <c r="R70" s="48"/>
      <c r="S70" s="44"/>
      <c r="T70" s="47"/>
      <c r="U70" s="48"/>
      <c r="V70" s="44"/>
      <c r="W70" s="47"/>
      <c r="X70" s="48"/>
    </row>
    <row r="71" spans="2:24" ht="13.5" thickBot="1" x14ac:dyDescent="0.25">
      <c r="K71" s="47"/>
      <c r="L71" s="48"/>
      <c r="M71" s="44"/>
      <c r="N71" s="49" t="s">
        <v>33</v>
      </c>
      <c r="O71" s="50">
        <f>SUM(O69:O70)</f>
        <v>0</v>
      </c>
      <c r="P71" s="44"/>
      <c r="Q71" s="49" t="s">
        <v>33</v>
      </c>
      <c r="R71" s="50">
        <f>SUM(R69:R70)</f>
        <v>0</v>
      </c>
      <c r="S71" s="44"/>
      <c r="T71" s="49" t="s">
        <v>33</v>
      </c>
      <c r="U71" s="50">
        <f>SUM(U69:U70)</f>
        <v>0</v>
      </c>
      <c r="V71" s="44"/>
      <c r="W71" s="47"/>
      <c r="X71" s="48"/>
    </row>
    <row r="72" spans="2:24" ht="13.5" thickBot="1" x14ac:dyDescent="0.25">
      <c r="K72" s="49" t="s">
        <v>33</v>
      </c>
      <c r="L72" s="50">
        <f>SUM(L69:L71)</f>
        <v>0</v>
      </c>
      <c r="M72" s="44"/>
      <c r="N72" s="58"/>
      <c r="O72" s="58"/>
      <c r="P72" s="44"/>
      <c r="Q72" s="58"/>
      <c r="R72" s="58"/>
      <c r="S72" s="44"/>
      <c r="T72" s="58"/>
      <c r="U72" s="58"/>
      <c r="V72" s="44"/>
      <c r="W72" s="47"/>
      <c r="X72" s="48"/>
    </row>
    <row r="73" spans="2:24" x14ac:dyDescent="0.2">
      <c r="K73" s="62"/>
      <c r="L73" s="58"/>
      <c r="M73" s="44"/>
      <c r="N73" s="58"/>
      <c r="O73" s="58"/>
      <c r="P73" s="44"/>
      <c r="Q73" s="58"/>
      <c r="R73" s="58"/>
      <c r="S73" s="44"/>
      <c r="T73" s="58"/>
      <c r="U73" s="58"/>
      <c r="V73" s="44"/>
      <c r="W73" s="47"/>
      <c r="X73" s="48"/>
    </row>
    <row r="74" spans="2:24" ht="13.5" thickBot="1" x14ac:dyDescent="0.25">
      <c r="K74" s="62"/>
      <c r="L74" s="58"/>
      <c r="M74" s="44"/>
      <c r="N74" s="58"/>
      <c r="O74" s="58"/>
      <c r="P74" s="44"/>
      <c r="Q74" s="58"/>
      <c r="R74" s="58"/>
      <c r="S74" s="44"/>
      <c r="T74" s="58"/>
      <c r="U74" s="58"/>
      <c r="V74" s="44"/>
      <c r="W74" s="47"/>
      <c r="X74" s="48"/>
    </row>
    <row r="75" spans="2:24" ht="13.5" thickBot="1" x14ac:dyDescent="0.25">
      <c r="K75" s="63"/>
      <c r="L75" s="59"/>
      <c r="M75" s="56"/>
      <c r="N75" s="59"/>
      <c r="O75" s="59"/>
      <c r="P75" s="56"/>
      <c r="Q75" s="59"/>
      <c r="R75" s="59"/>
      <c r="S75" s="56"/>
      <c r="T75" s="59"/>
      <c r="U75" s="59"/>
      <c r="V75" s="56"/>
      <c r="W75" s="49" t="s">
        <v>33</v>
      </c>
      <c r="X75" s="50">
        <f>SUM(X69:X74)</f>
        <v>0</v>
      </c>
    </row>
  </sheetData>
  <mergeCells count="64">
    <mergeCell ref="K66:X66"/>
    <mergeCell ref="K67:L67"/>
    <mergeCell ref="N67:O67"/>
    <mergeCell ref="Q67:R67"/>
    <mergeCell ref="T67:U67"/>
    <mergeCell ref="W67:X67"/>
    <mergeCell ref="B62:D63"/>
    <mergeCell ref="E62:E63"/>
    <mergeCell ref="B64:D65"/>
    <mergeCell ref="E64:E65"/>
    <mergeCell ref="B66:D67"/>
    <mergeCell ref="E66:E67"/>
    <mergeCell ref="B44:E44"/>
    <mergeCell ref="K55:X55"/>
    <mergeCell ref="K56:L56"/>
    <mergeCell ref="N56:O56"/>
    <mergeCell ref="Q56:R56"/>
    <mergeCell ref="T56:U56"/>
    <mergeCell ref="W56:X56"/>
    <mergeCell ref="B34:E34"/>
    <mergeCell ref="B38:E38"/>
    <mergeCell ref="K42:L42"/>
    <mergeCell ref="N42:U42"/>
    <mergeCell ref="N43:O43"/>
    <mergeCell ref="Q43:R43"/>
    <mergeCell ref="T43:U43"/>
    <mergeCell ref="B26:E26"/>
    <mergeCell ref="K31:X31"/>
    <mergeCell ref="K32:L32"/>
    <mergeCell ref="N32:O32"/>
    <mergeCell ref="Q32:R32"/>
    <mergeCell ref="T32:U32"/>
    <mergeCell ref="W32:X32"/>
    <mergeCell ref="K24:X24"/>
    <mergeCell ref="K25:L25"/>
    <mergeCell ref="N25:O25"/>
    <mergeCell ref="Q25:R25"/>
    <mergeCell ref="T25:U25"/>
    <mergeCell ref="W25:X25"/>
    <mergeCell ref="H11:I11"/>
    <mergeCell ref="K11:X11"/>
    <mergeCell ref="K12:L12"/>
    <mergeCell ref="N12:O12"/>
    <mergeCell ref="Q12:R12"/>
    <mergeCell ref="T12:U12"/>
    <mergeCell ref="W12:X12"/>
    <mergeCell ref="B7:B9"/>
    <mergeCell ref="C7:D7"/>
    <mergeCell ref="C8:D8"/>
    <mergeCell ref="G8:K9"/>
    <mergeCell ref="L8:L9"/>
    <mergeCell ref="C9:D9"/>
    <mergeCell ref="Q5:R5"/>
    <mergeCell ref="T5:U5"/>
    <mergeCell ref="W5:X5"/>
    <mergeCell ref="C6:D6"/>
    <mergeCell ref="G6:K7"/>
    <mergeCell ref="L6:L7"/>
    <mergeCell ref="B3:D3"/>
    <mergeCell ref="B4:B6"/>
    <mergeCell ref="C4:D4"/>
    <mergeCell ref="G4:K5"/>
    <mergeCell ref="L4:L5"/>
    <mergeCell ref="C5:D5"/>
  </mergeCells>
  <conditionalFormatting sqref="E54:E59 E28:E33 E20:E25 E36:E37 E40:E43 E46:E51">
    <cfRule type="iconSet" priority="2">
      <iconSet iconSet="3Signs">
        <cfvo type="percent" val="0"/>
        <cfvo type="num" val="-20"/>
        <cfvo type="num" val="0"/>
      </iconSet>
    </cfRule>
  </conditionalFormatting>
  <conditionalFormatting sqref="E12:E18">
    <cfRule type="iconSet" priority="1">
      <iconSet iconSet="3Signs">
        <cfvo type="percent" val="0"/>
        <cfvo type="num" val="-20"/>
        <cfvo type="num" val="0"/>
      </iconSet>
    </cfRule>
  </conditionalFormatting>
  <pageMargins left="0.5" right="0.5" top="0.5" bottom="0.5" header="0.5" footer="0.5"/>
  <pageSetup orientation="portrait" r:id="rId1"/>
  <headerFooter alignWithMargins="0"/>
  <ignoredErrors>
    <ignoredError sqref="D28:D32 D40:D42 D46:D50" calculatedColumn="1"/>
  </ignoredErrors>
  <drawing r:id="rId2"/>
  <tableParts count="7">
    <tablePart r:id="rId3"/>
    <tablePart r:id="rId4"/>
    <tablePart r:id="rId5"/>
    <tablePart r:id="rId6"/>
    <tablePart r:id="rId7"/>
    <tablePart r:id="rId8"/>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Starting Page</vt:lpstr>
      <vt:lpstr>School Year Summary</vt:lpstr>
      <vt:lpstr>Sep</vt:lpstr>
      <vt:lpstr>Oct</vt:lpstr>
      <vt:lpstr>Nov</vt:lpstr>
      <vt:lpstr>Dec</vt:lpstr>
      <vt:lpstr>Jan</vt:lpstr>
      <vt:lpstr>Feb</vt:lpstr>
      <vt:lpstr>Mar</vt:lpstr>
      <vt:lpstr>Apr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CAA SCO</dc:creator>
  <cp:lastModifiedBy>Bosnic, Lloyd</cp:lastModifiedBy>
  <cp:lastPrinted>2013-03-05T19:17:49Z</cp:lastPrinted>
  <dcterms:created xsi:type="dcterms:W3CDTF">2002-11-14T18:47:55Z</dcterms:created>
  <dcterms:modified xsi:type="dcterms:W3CDTF">2018-06-04T13:50:59Z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LCID">
    <vt:i4>1033</vt:i4>
  </property>
  <property fmtid="{D5CDD505-2E9C-101B-9397-08002B2CF9AE}" pid="3" name="_Version">
    <vt:lpwstr>0908</vt:lpwstr>
  </property>
</Properties>
</file>